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rBfGnBldkkKDaUzvUfCPCR4pT73YpP/GdWNgM4X3DoyiN3znJATDzBb8DixGU1He7Inqx3BEv67l6zm0HDxlA==" workbookSaltValue="agt7OJXNbgDYREiusCKUz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R19" i="8"/>
  <c r="AE13" i="21"/>
  <c r="EL19" i="8"/>
  <c r="BE12" i="21"/>
  <c r="EQ19" i="8"/>
  <c r="EN19" i="8"/>
  <c r="E15" i="3"/>
  <c r="BA13" i="16"/>
  <c r="F16" i="10"/>
  <c r="E10" i="6"/>
  <c r="ES19" i="8"/>
  <c r="C18" i="7"/>
  <c r="F17" i="16"/>
  <c r="BL17" i="16" s="1"/>
  <c r="EP19" i="8"/>
  <c r="EP19" i="19"/>
  <c r="S13" i="16"/>
  <c r="P13" i="16"/>
  <c r="W13" i="20"/>
  <c r="F13" i="7"/>
  <c r="AJ19" i="8"/>
  <c r="T13" i="16"/>
  <c r="BG15" i="8"/>
  <c r="BE9" i="8"/>
  <c r="AP13" i="16"/>
  <c r="F11" i="11"/>
  <c r="AQ11" i="11" s="1"/>
  <c r="T18" i="17"/>
  <c r="BE16" i="13"/>
  <c r="AK20" i="20"/>
  <c r="T20" i="20"/>
  <c r="O16" i="11"/>
  <c r="Z20" i="20"/>
  <c r="H20" i="20"/>
  <c r="G18" i="14"/>
  <c r="L19" i="8" l="1"/>
  <c r="E18" i="12"/>
  <c r="I19" i="8"/>
  <c r="AV18" i="21"/>
  <c r="BM18" i="16"/>
  <c r="G18" i="12"/>
  <c r="I12" i="3"/>
  <c r="B13" i="7"/>
  <c r="AE13" i="17"/>
  <c r="H13" i="12"/>
  <c r="AY13" i="8"/>
  <c r="I10" i="3"/>
  <c r="E10" i="3"/>
  <c r="M18" i="2"/>
  <c r="AO12" i="11"/>
  <c r="BD12" i="8"/>
  <c r="H12" i="7" s="1"/>
  <c r="L11" i="14"/>
  <c r="BE15" i="13"/>
  <c r="R8" i="9"/>
  <c r="S12" i="14" s="1"/>
  <c r="V12" i="14" s="1"/>
  <c r="AP16" i="20"/>
  <c r="BH9" i="16"/>
  <c r="V15" i="11"/>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V10" i="16"/>
  <c r="S15" i="17"/>
  <c r="L10" i="2"/>
  <c r="BH12" i="16"/>
  <c r="S17" i="17"/>
  <c r="BM17" i="11"/>
  <c r="BH10" i="16"/>
  <c r="BL15" i="11"/>
  <c r="P15" i="17"/>
  <c r="X17" i="17"/>
  <c r="S11" i="14"/>
  <c r="V11" i="14" s="1"/>
  <c r="BU12" i="17"/>
  <c r="BW10" i="20"/>
  <c r="BW11" i="20"/>
  <c r="BW12" i="20"/>
  <c r="BU10" i="17"/>
  <c r="BU11" i="17"/>
  <c r="AP17" i="20"/>
  <c r="BK17" i="11"/>
  <c r="BG15" i="11"/>
  <c r="BJ12" i="11"/>
  <c r="BI15" i="11"/>
  <c r="BM12" i="11"/>
  <c r="V11" i="11"/>
  <c r="V17" i="16"/>
  <c r="S17" i="16"/>
  <c r="BF17" i="11"/>
  <c r="BM16" i="11"/>
  <c r="BH17" i="16"/>
  <c r="BH11" i="16"/>
  <c r="T9" i="11"/>
  <c r="T17" i="20"/>
  <c r="X17" i="20"/>
  <c r="U10" i="21"/>
  <c r="AA12" i="21"/>
  <c r="X16" i="20"/>
  <c r="S10" i="17"/>
  <c r="V9" i="16"/>
  <c r="V11" i="16"/>
  <c r="L9" i="2"/>
  <c r="L11" i="2"/>
  <c r="L15" i="2"/>
  <c r="L17" i="2"/>
  <c r="X9" i="16"/>
  <c r="X19" i="16" s="1"/>
  <c r="V15" i="20"/>
  <c r="V18" i="20" s="1"/>
  <c r="R17" i="14"/>
  <c r="T12" i="11"/>
  <c r="AA10" i="16"/>
  <c r="X12" i="17"/>
  <c r="AA17"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X12" i="21"/>
  <c r="R11" i="14"/>
  <c r="BF11" i="11"/>
  <c r="BG10" i="11"/>
  <c r="BF16" i="11"/>
  <c r="BK11" i="11"/>
  <c r="BH9" i="11"/>
  <c r="AP15" i="20"/>
  <c r="AZ9" i="11"/>
  <c r="BV17" i="16"/>
  <c r="BV11" i="16"/>
  <c r="V12" i="16"/>
  <c r="AZ11" i="11"/>
  <c r="BM9" i="11"/>
  <c r="BL9" i="11"/>
  <c r="Q9" i="11" s="1"/>
  <c r="P17" i="17"/>
  <c r="P18" i="17" s="1"/>
  <c r="P19" i="17" s="1"/>
  <c r="BL12" i="11"/>
  <c r="V12" i="21"/>
  <c r="AP10" i="21"/>
  <c r="BJ15" i="11"/>
  <c r="BJ18" i="11" s="1"/>
  <c r="R17" i="20"/>
  <c r="R18" i="20" s="1"/>
  <c r="AZ15" i="11"/>
  <c r="AZ18" i="11" s="1"/>
  <c r="BV12" i="16"/>
  <c r="U10" i="17"/>
  <c r="AA16" i="16"/>
  <c r="AZ16" i="11"/>
  <c r="S15" i="16"/>
  <c r="S18" i="16" s="1"/>
  <c r="BL10" i="11"/>
  <c r="BF15" i="11"/>
  <c r="BK10" i="11"/>
  <c r="X15" i="16"/>
  <c r="X18" i="16" s="1"/>
  <c r="BF12" i="11"/>
  <c r="Q15" i="17"/>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<sst xmlns="http://schemas.openxmlformats.org/spreadsheetml/2006/main" count="2094" uniqueCount="914">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</sst>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axlB8Fc2L9UQQX5ej/pQVG6XSFuNXvvuyxJynjO+yN1M7vxpQ8hK07uWdVzDX2jB90YFzpL0Ep40DAwu5BKAA==" saltValue="tH/Bw7p8rgZLlMRAdGlO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17</v>
      </c>
      <c r="D10" s="225">
        <f>IF(ISNUMBER(Datos!I10),Datos!I10," - ")</f>
        <v>17</v>
      </c>
      <c r="E10" s="226">
        <f>IF(ISNUMBER(Datos!J10),Datos!J10," - ")</f>
        <v>2</v>
      </c>
      <c r="F10" s="226">
        <f>IF(ISNUMBER(Datos!K10),Datos!K10," - ")</f>
        <v>2</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93.5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16.833202202989771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17</v>
      </c>
      <c r="D13" s="1049">
        <f>SUBTOTAL(9,D9:D12)</f>
        <v>17</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788</v>
      </c>
      <c r="D16" s="225">
        <f>IF(ISNUMBER(IF(D_I="SI",Datos!I16,Datos!I16+Datos!AC16)),IF(D_I="SI",Datos!I16,Datos!I16+Datos!AC16)," - ")</f>
        <v>785</v>
      </c>
      <c r="E16" s="226">
        <f>IF(ISNUMBER(IF(D_I="SI",Datos!J16,Datos!J16+Datos!AD16)),IF(D_I="SI",Datos!J16,Datos!J16+Datos!AD16)," - ")</f>
        <v>696</v>
      </c>
      <c r="F16" s="226">
        <f>IF(ISNUMBER(IF(D_I="SI",Datos!K16,Datos!K16+Datos!AE16)),IF(D_I="SI",Datos!K16,Datos!K16+Datos!AE16)," - ")</f>
        <v>698</v>
      </c>
      <c r="G16" s="1034" t="str">
        <f>IF(Datos!E16&lt;&gt;"",Datos!E16,Datos!D16)</f>
        <v>04</v>
      </c>
      <c r="H16" s="227">
        <f>IF(ISNUMBER(IF(D_I="SI",Datos!L16,Datos!L16+Datos!AF16)),IF(D_I="SI",Datos!L16,Datos!L16+Datos!AF16)," - ")</f>
        <v>786</v>
      </c>
      <c r="I16" s="1044" t="str">
        <f>IF(ISNUMBER(Datos!AS16/Datos!BM16),Datos!AS16/Datos!BM16," - ")</f>
        <v xml:space="preserve"> - </v>
      </c>
      <c r="J16" s="1045">
        <f>IF(ISNUMBER(Datos!BY16/Datos!CN16),Datos!BY16/Datos!CN16," - ")</f>
        <v>0</v>
      </c>
      <c r="K16" s="230">
        <f t="shared" si="3"/>
        <v>-2.5380710659898475E-3</v>
      </c>
      <c r="L16" s="1025">
        <f>IF(ISNUMBER(NºAsuntos!I16/NºAsuntos!G16),(NºAsuntos!I16/NºAsuntos!G16)*11," - ")</f>
        <v>12.386819484240688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41</v>
      </c>
      <c r="D17" s="225">
        <f>IF(ISNUMBER(IF(D_I="SI",Datos!I17,Datos!I17+Datos!AC17)),IF(D_I="SI",Datos!I17,Datos!I17+Datos!AC17)," - ")</f>
        <v>41</v>
      </c>
      <c r="E17" s="226">
        <f>IF(ISNUMBER(IF(D_I="SI",Datos!J17,Datos!J17+Datos!AD17)),IF(D_I="SI",Datos!J17,Datos!J17+Datos!AD17)," - ")</f>
        <v>61</v>
      </c>
      <c r="F17" s="226">
        <f>IF(ISNUMBER(IF(D_I="SI",Datos!K17,Datos!K17+Datos!AE17)),IF(D_I="SI",Datos!K17,Datos!K17+Datos!AE17)," - ")</f>
        <v>34</v>
      </c>
      <c r="G17" s="1034" t="str">
        <f>IF(Datos!E17&lt;&gt;"",Datos!E17,Datos!D17)</f>
        <v>37</v>
      </c>
      <c r="H17" s="227">
        <f>IF(ISNUMBER(IF(D_I="SI",Datos!L17,Datos!L17+Datos!AF17)),IF(D_I="SI",Datos!L17,Datos!L17+Datos!AF17)," - ")</f>
        <v>68</v>
      </c>
      <c r="I17" s="1044" t="str">
        <f>IF(ISNUMBER(Datos!AS17/Datos!BM17),Datos!AS17/Datos!BM17," - ")</f>
        <v xml:space="preserve"> - </v>
      </c>
      <c r="J17" s="1045" t="str">
        <f>IF(ISNUMBER((Datos!BY17+Datos!BZ17)/Datos!CN17),(Datos!BY17+Datos!BZ17)/Datos!CN17," - ")</f>
        <v xml:space="preserve"> - </v>
      </c>
      <c r="K17" s="230">
        <f t="shared" si="3"/>
        <v>0.65853658536585369</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829</v>
      </c>
      <c r="D18" s="1049">
        <f>SUBTOTAL(9,D15:D17)</f>
        <v>826</v>
      </c>
      <c r="E18" s="1050">
        <f>SUBTOTAL(9,E15:E17)</f>
        <v>757</v>
      </c>
      <c r="F18" s="1050">
        <f>SUBTOTAL(9,F15:F17)</f>
        <v>732</v>
      </c>
      <c r="G18" s="1052" t="str">
        <f ca="1">INDIRECT(CONCATENATE("G",ROW()-1))</f>
        <v>37</v>
      </c>
      <c r="H18" s="1053">
        <f ca="1">SUMIF(G$14:G17,G18,H$14:H17)</f>
        <v>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846</v>
      </c>
      <c r="D19" s="1071">
        <f>SUBTOTAL(9,D9:D18)</f>
        <v>843</v>
      </c>
      <c r="E19" s="1072">
        <f>SUBTOTAL(9,E9:E18)</f>
        <v>759</v>
      </c>
      <c r="F19" s="1072">
        <f>SUBTOTAL(9,F9:F18)</f>
        <v>734</v>
      </c>
      <c r="G19" s="1073"/>
      <c r="H19" s="1074">
        <f ca="1">SUMIF(B9:B18,"TOTAL",H9:H18)</f>
        <v>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mnA8PYYv5yDMc8KPVGLoT44i5vbqWWJVBMZnwUG9embvtapvjVbH6eSLhSQKS4wu1vxfXMuFvGn5m2QhHc/Lg==" saltValue="b5ky29NCNFj2IMEuwET6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rB5369AAznaSYW/0Nw4D18Mw4AEerOvwpFO+FlJ7LYHZEhbWQlQ0oisPShKoAEFddcBfLpY9Bqqxm5iZ0/gCg==" saltValue="8bFas6dL+v7RAOIINS6f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17</v>
      </c>
      <c r="J10" s="181">
        <v>2</v>
      </c>
      <c r="K10" s="181">
        <v>2</v>
      </c>
      <c r="L10" s="181">
        <v>17</v>
      </c>
      <c r="M10" s="181">
        <v>2</v>
      </c>
      <c r="N10" s="181">
        <v>0</v>
      </c>
      <c r="O10" s="181">
        <v>0</v>
      </c>
      <c r="P10" s="181">
        <v>0</v>
      </c>
      <c r="Q10" s="181">
        <v>0</v>
      </c>
      <c r="R10" s="181">
        <v>3</v>
      </c>
      <c r="S10" s="181">
        <v>9</v>
      </c>
      <c r="T10" s="181">
        <v>7</v>
      </c>
      <c r="U10" s="181">
        <v>0</v>
      </c>
      <c r="V10" s="181">
        <v>16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7</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1839</v>
      </c>
      <c r="J12" s="183">
        <v>1225</v>
      </c>
      <c r="K12" s="183">
        <v>1227</v>
      </c>
      <c r="L12" s="183">
        <v>1837</v>
      </c>
      <c r="M12" s="183">
        <v>295</v>
      </c>
      <c r="N12" s="183">
        <v>719</v>
      </c>
      <c r="O12" s="181">
        <v>329</v>
      </c>
      <c r="P12" s="183">
        <v>220</v>
      </c>
      <c r="Q12" s="183">
        <v>109</v>
      </c>
      <c r="R12" s="183">
        <v>3882</v>
      </c>
      <c r="S12" s="183">
        <v>1936</v>
      </c>
      <c r="T12" s="183">
        <v>1078</v>
      </c>
      <c r="U12" s="183">
        <v>1005</v>
      </c>
      <c r="V12" s="183">
        <v>2009</v>
      </c>
      <c r="W12" s="183">
        <v>256</v>
      </c>
      <c r="X12" s="189">
        <v>457</v>
      </c>
      <c r="Y12" s="191">
        <v>90</v>
      </c>
      <c r="Z12" s="181">
        <v>62</v>
      </c>
      <c r="AA12" s="181">
        <v>44</v>
      </c>
      <c r="AB12" s="181">
        <v>108</v>
      </c>
      <c r="AC12" s="183">
        <v>0</v>
      </c>
      <c r="AD12" s="183">
        <v>0</v>
      </c>
      <c r="AE12" s="183">
        <v>0</v>
      </c>
      <c r="AF12" s="189">
        <v>0</v>
      </c>
      <c r="AG12" s="202">
        <v>128</v>
      </c>
      <c r="AH12" s="183">
        <v>47</v>
      </c>
      <c r="AI12" s="183">
        <v>66</v>
      </c>
      <c r="AJ12" s="203">
        <v>109</v>
      </c>
      <c r="AK12" s="182">
        <v>0</v>
      </c>
      <c r="AL12" s="183">
        <v>0</v>
      </c>
      <c r="AM12" s="183">
        <v>0</v>
      </c>
      <c r="AN12" s="189">
        <v>0</v>
      </c>
      <c r="AO12" s="259">
        <v>3</v>
      </c>
      <c r="AP12" s="155">
        <v>3</v>
      </c>
      <c r="AQ12" s="155">
        <v>3</v>
      </c>
      <c r="AR12" s="154">
        <v>3</v>
      </c>
      <c r="AS12" s="340" t="s">
        <v>802</v>
      </c>
      <c r="AT12" s="203"/>
      <c r="AU12" s="202"/>
      <c r="AV12" s="203"/>
      <c r="AW12" s="202"/>
      <c r="AX12" s="203"/>
      <c r="AY12" s="126">
        <f t="shared" si="1"/>
        <v>2064</v>
      </c>
      <c r="AZ12" s="127">
        <f t="shared" si="1"/>
        <v>1125</v>
      </c>
      <c r="BA12" s="127">
        <f t="shared" si="1"/>
        <v>1071</v>
      </c>
      <c r="BB12" s="127">
        <f t="shared" si="1"/>
        <v>2118</v>
      </c>
      <c r="BC12" s="125">
        <f>IF(ISNUMBER(X12),X12," - ")</f>
        <v>457</v>
      </c>
      <c r="BD12" s="126">
        <f t="shared" si="2"/>
        <v>0.95199999999999996</v>
      </c>
      <c r="BE12" s="127">
        <f t="shared" si="3"/>
        <v>1.9775910364145659</v>
      </c>
      <c r="BF12" s="127">
        <f t="shared" si="4"/>
        <v>0.42670401493930904</v>
      </c>
      <c r="BG12" s="196">
        <f t="shared" si="5"/>
        <v>2.9775910364145659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1856</v>
      </c>
      <c r="J13" s="184">
        <f t="shared" si="6"/>
        <v>1227</v>
      </c>
      <c r="K13" s="184">
        <f t="shared" si="6"/>
        <v>1229</v>
      </c>
      <c r="L13" s="184">
        <f t="shared" si="6"/>
        <v>1854</v>
      </c>
      <c r="M13" s="184">
        <f t="shared" si="6"/>
        <v>297</v>
      </c>
      <c r="N13" s="184">
        <f t="shared" si="6"/>
        <v>719</v>
      </c>
      <c r="O13" s="184">
        <f t="shared" si="6"/>
        <v>329</v>
      </c>
      <c r="P13" s="184">
        <f t="shared" si="6"/>
        <v>220</v>
      </c>
      <c r="Q13" s="184">
        <f t="shared" si="6"/>
        <v>109</v>
      </c>
      <c r="R13" s="184">
        <f t="shared" si="6"/>
        <v>3885</v>
      </c>
      <c r="S13" s="184">
        <f t="shared" si="6"/>
        <v>1945</v>
      </c>
      <c r="T13" s="184">
        <f t="shared" si="6"/>
        <v>1085</v>
      </c>
      <c r="U13" s="184">
        <f t="shared" si="6"/>
        <v>1005</v>
      </c>
      <c r="V13" s="184">
        <f t="shared" si="6"/>
        <v>2025</v>
      </c>
      <c r="W13" s="184">
        <f t="shared" si="6"/>
        <v>256</v>
      </c>
      <c r="X13" s="184">
        <f t="shared" si="6"/>
        <v>457</v>
      </c>
      <c r="Y13" s="184">
        <f t="shared" si="6"/>
        <v>90</v>
      </c>
      <c r="Z13" s="184">
        <f t="shared" si="6"/>
        <v>62</v>
      </c>
      <c r="AA13" s="184">
        <f t="shared" si="6"/>
        <v>44</v>
      </c>
      <c r="AB13" s="184">
        <f t="shared" si="6"/>
        <v>108</v>
      </c>
      <c r="AC13" s="184">
        <f t="shared" si="6"/>
        <v>0</v>
      </c>
      <c r="AD13" s="184">
        <f t="shared" si="6"/>
        <v>0</v>
      </c>
      <c r="AE13" s="184">
        <f t="shared" si="6"/>
        <v>0</v>
      </c>
      <c r="AF13" s="184">
        <f>SUBTOTAL(9,AF9:AF12)</f>
        <v>0</v>
      </c>
      <c r="AG13" s="184">
        <f t="shared" ref="AG13:AT13" si="7">SUBTOTAL(9,AG8:AG12)</f>
        <v>128</v>
      </c>
      <c r="AH13" s="184">
        <f t="shared" si="7"/>
        <v>47</v>
      </c>
      <c r="AI13" s="184">
        <f t="shared" si="7"/>
        <v>66</v>
      </c>
      <c r="AJ13" s="184">
        <f t="shared" si="7"/>
        <v>109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2073</v>
      </c>
      <c r="AZ13" s="184">
        <f>SUBTOTAL(9,AZ8:AZ12)</f>
        <v>1132</v>
      </c>
      <c r="BA13" s="184">
        <f>SUBTOTAL(9,BA8:BA12)</f>
        <v>1071</v>
      </c>
      <c r="BB13" s="184">
        <f>SUBTOTAL(9,BB8:BB12)</f>
        <v>2134</v>
      </c>
      <c r="BC13" s="184">
        <f>SUBTOTAL(9,BC8:BC12)</f>
        <v>457</v>
      </c>
      <c r="BD13" s="205">
        <f>IF(ISNUMBER(BA13/AZ13),BA13/AZ13," - ")</f>
        <v>0.94611307420494695</v>
      </c>
      <c r="BE13" s="206">
        <f>IF(ISNUMBER(BB13/BA13),BB13/BA13, " - ")</f>
        <v>1.992530345471522</v>
      </c>
      <c r="BF13" s="206">
        <f>IF(ISNUMBER(BC13/BA13),BC13/BA13, " - ")</f>
        <v>0.42670401493930904</v>
      </c>
      <c r="BG13" s="207">
        <f>IF(ISNUMBER((AY13+AZ13)/BA13),(AY13+AZ13)/BA13," - ")</f>
        <v>2.992530345471522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785</v>
      </c>
      <c r="J16" s="183">
        <v>696</v>
      </c>
      <c r="K16" s="183">
        <v>698</v>
      </c>
      <c r="L16" s="183">
        <v>786</v>
      </c>
      <c r="M16" s="183">
        <v>103</v>
      </c>
      <c r="N16" s="183">
        <v>400</v>
      </c>
      <c r="O16" s="181">
        <v>8</v>
      </c>
      <c r="P16" s="183">
        <v>25</v>
      </c>
      <c r="Q16" s="183">
        <v>17</v>
      </c>
      <c r="R16" s="183">
        <v>122</v>
      </c>
      <c r="S16" s="183">
        <v>739</v>
      </c>
      <c r="T16" s="183">
        <v>564</v>
      </c>
      <c r="U16" s="183">
        <v>478</v>
      </c>
      <c r="V16" s="183">
        <v>829</v>
      </c>
      <c r="W16" s="183">
        <v>116</v>
      </c>
      <c r="X16" s="189">
        <v>308</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3</v>
      </c>
      <c r="AP16" s="155">
        <v>3</v>
      </c>
      <c r="AQ16" s="155">
        <v>3</v>
      </c>
      <c r="AR16" s="155">
        <v>3</v>
      </c>
      <c r="AS16" s="340" t="s">
        <v>487</v>
      </c>
      <c r="AT16" s="203"/>
      <c r="AU16" s="202"/>
      <c r="AV16" s="203"/>
      <c r="AW16" s="202"/>
      <c r="AX16" s="203"/>
      <c r="AY16" s="126">
        <f t="shared" si="9"/>
        <v>739</v>
      </c>
      <c r="AZ16" s="127">
        <f t="shared" si="9"/>
        <v>564</v>
      </c>
      <c r="BA16" s="127">
        <f t="shared" si="9"/>
        <v>478</v>
      </c>
      <c r="BB16" s="127">
        <f t="shared" si="9"/>
        <v>829</v>
      </c>
      <c r="BC16" s="125">
        <f>IF(ISNUMBER(W16),W16," - ")</f>
        <v>116</v>
      </c>
      <c r="BD16" s="126">
        <f t="shared" ref="BD16" si="11">IF(ISNUMBER(BA16/AZ16),BA16/AZ16," - ")</f>
        <v>0.84751773049645385</v>
      </c>
      <c r="BE16" s="127">
        <f t="shared" ref="BE16" si="12">IF(ISNUMBER(BB16/BA16),BB16/BA16, " - ")</f>
        <v>1.7343096234309623</v>
      </c>
      <c r="BF16" s="127">
        <f t="shared" ref="BF16" si="13">IF(ISNUMBER(BC16/BA16),BC16/BA16, " - ")</f>
        <v>0.24267782426778242</v>
      </c>
      <c r="BG16" s="196">
        <f t="shared" si="10"/>
        <v>2.7259414225941421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41</v>
      </c>
      <c r="J17" s="183">
        <v>61</v>
      </c>
      <c r="K17" s="183">
        <v>34</v>
      </c>
      <c r="L17" s="183">
        <v>68</v>
      </c>
      <c r="M17" s="183">
        <v>15</v>
      </c>
      <c r="N17" s="183">
        <v>31</v>
      </c>
      <c r="O17" s="183">
        <v>4</v>
      </c>
      <c r="P17" s="183">
        <v>0</v>
      </c>
      <c r="Q17" s="183">
        <v>4</v>
      </c>
      <c r="R17" s="183">
        <v>3</v>
      </c>
      <c r="S17" s="183">
        <v>45</v>
      </c>
      <c r="T17" s="183">
        <v>40</v>
      </c>
      <c r="U17" s="183">
        <v>45</v>
      </c>
      <c r="V17" s="183">
        <v>40</v>
      </c>
      <c r="W17" s="183">
        <v>16</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v>
      </c>
      <c r="AZ17" s="129">
        <f t="shared" si="14"/>
        <v>40</v>
      </c>
      <c r="BA17" s="129">
        <f t="shared" si="14"/>
        <v>45</v>
      </c>
      <c r="BB17" s="129">
        <f t="shared" si="14"/>
        <v>40</v>
      </c>
      <c r="BC17" s="125">
        <f>IF(ISNUMBER(W17),W17," - ")</f>
        <v>16</v>
      </c>
      <c r="BD17" s="126">
        <f>IF(ISNUMBER(BA17/AZ17),BA17/AZ17," - ")</f>
        <v>1.125</v>
      </c>
      <c r="BE17" s="127">
        <f>IF(ISNUMBER(BB17/BA17),BB17/BA17, " - ")</f>
        <v>0.88888888888888884</v>
      </c>
      <c r="BF17" s="127">
        <f>IF(ISNUMBER(BC17/BA17),BC17/BA17, " - ")</f>
        <v>0.35555555555555557</v>
      </c>
      <c r="BG17" s="196">
        <f>IF(ISNUMBER((AY17+AZ17)/BA17),(AY17+AZ17)/BA17," - ")</f>
        <v>1.8888888888888888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826</v>
      </c>
      <c r="J18" s="184">
        <f t="shared" si="15"/>
        <v>757</v>
      </c>
      <c r="K18" s="184">
        <f t="shared" si="15"/>
        <v>732</v>
      </c>
      <c r="L18" s="184">
        <f t="shared" si="15"/>
        <v>854</v>
      </c>
      <c r="M18" s="184">
        <f t="shared" si="15"/>
        <v>118</v>
      </c>
      <c r="N18" s="184">
        <f t="shared" si="15"/>
        <v>431</v>
      </c>
      <c r="O18" s="184">
        <f t="shared" si="15"/>
        <v>12</v>
      </c>
      <c r="P18" s="184">
        <f t="shared" si="15"/>
        <v>25</v>
      </c>
      <c r="Q18" s="184">
        <f t="shared" si="15"/>
        <v>21</v>
      </c>
      <c r="R18" s="184">
        <f t="shared" si="15"/>
        <v>125</v>
      </c>
      <c r="S18" s="184">
        <f t="shared" si="15"/>
        <v>784</v>
      </c>
      <c r="T18" s="184">
        <f t="shared" si="15"/>
        <v>604</v>
      </c>
      <c r="U18" s="184">
        <f t="shared" si="15"/>
        <v>523</v>
      </c>
      <c r="V18" s="184">
        <f t="shared" si="15"/>
        <v>869</v>
      </c>
      <c r="W18" s="184">
        <f t="shared" si="15"/>
        <v>132</v>
      </c>
      <c r="X18" s="184">
        <f t="shared" si="15"/>
        <v>333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784</v>
      </c>
      <c r="AZ18" s="184">
        <f>SUBTOTAL(9,AZ14:AZ17)</f>
        <v>604</v>
      </c>
      <c r="BA18" s="184">
        <f>SUBTOTAL(9,BA14:BA17)</f>
        <v>523</v>
      </c>
      <c r="BB18" s="184">
        <f>SUBTOTAL(9,BB14:BB17)</f>
        <v>869</v>
      </c>
      <c r="BC18" s="184">
        <f>SUBTOTAL(9,BC14:BC17)</f>
        <v>132</v>
      </c>
      <c r="BD18" s="205">
        <f>IF(ISNUMBER(BA18/AZ18),BA18/AZ18," - ")</f>
        <v>0.86589403973509937</v>
      </c>
      <c r="BE18" s="206">
        <f>IF(ISNUMBER(BB18/BA18),BB18/BA18, " - ")</f>
        <v>1.661567877629063</v>
      </c>
      <c r="BF18" s="206">
        <f>IF(ISNUMBER(BC18/BA18),BC18/BA18, " - ")</f>
        <v>0.25239005736137665</v>
      </c>
      <c r="BG18" s="207">
        <f>IF(ISNUMBER((AY18+AZ18)/BA18),(AY18+AZ18)/BA18," - ")</f>
        <v>2.6539196940726577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2682</v>
      </c>
      <c r="J19" s="134">
        <f t="shared" si="18"/>
        <v>1984</v>
      </c>
      <c r="K19" s="134">
        <f t="shared" si="18"/>
        <v>1961</v>
      </c>
      <c r="L19" s="134">
        <f t="shared" si="18"/>
        <v>2708</v>
      </c>
      <c r="M19" s="134">
        <f t="shared" si="18"/>
        <v>415</v>
      </c>
      <c r="N19" s="134">
        <f t="shared" si="18"/>
        <v>1150</v>
      </c>
      <c r="O19" s="134">
        <f t="shared" si="18"/>
        <v>341</v>
      </c>
      <c r="P19" s="134">
        <f t="shared" si="18"/>
        <v>245</v>
      </c>
      <c r="Q19" s="134">
        <f t="shared" si="18"/>
        <v>130</v>
      </c>
      <c r="R19" s="134">
        <f t="shared" si="18"/>
        <v>4010</v>
      </c>
      <c r="S19" s="134">
        <f t="shared" si="18"/>
        <v>2729</v>
      </c>
      <c r="T19" s="134">
        <f t="shared" si="18"/>
        <v>1689</v>
      </c>
      <c r="U19" s="134">
        <f t="shared" si="18"/>
        <v>1528</v>
      </c>
      <c r="V19" s="134">
        <f t="shared" si="18"/>
        <v>2894</v>
      </c>
      <c r="W19" s="134">
        <f t="shared" si="18"/>
        <v>388</v>
      </c>
      <c r="X19" s="134">
        <f t="shared" si="18"/>
        <v>790</v>
      </c>
      <c r="Y19" s="134">
        <f t="shared" si="18"/>
        <v>90</v>
      </c>
      <c r="Z19" s="134">
        <f t="shared" si="18"/>
        <v>62</v>
      </c>
      <c r="AA19" s="134">
        <f t="shared" si="18"/>
        <v>44</v>
      </c>
      <c r="AB19" s="134">
        <f t="shared" si="18"/>
        <v>108</v>
      </c>
      <c r="AC19" s="134">
        <f t="shared" si="18"/>
        <v>0</v>
      </c>
      <c r="AD19" s="134">
        <f t="shared" si="18"/>
        <v>0</v>
      </c>
      <c r="AE19" s="134">
        <f t="shared" si="18"/>
        <v>0</v>
      </c>
      <c r="AF19" s="134">
        <f t="shared" si="18"/>
        <v>0</v>
      </c>
      <c r="AG19" s="134">
        <f t="shared" si="18"/>
        <v>128</v>
      </c>
      <c r="AH19" s="134">
        <f t="shared" si="18"/>
        <v>47</v>
      </c>
      <c r="AI19" s="134">
        <f t="shared" si="18"/>
        <v>66</v>
      </c>
      <c r="AJ19" s="134">
        <f t="shared" si="18"/>
        <v>109</v>
      </c>
      <c r="AK19" s="134">
        <f t="shared" si="18"/>
        <v>0</v>
      </c>
      <c r="AL19" s="134">
        <f t="shared" si="18"/>
        <v>1</v>
      </c>
      <c r="AM19" s="134">
        <f t="shared" si="18"/>
        <v>0</v>
      </c>
      <c r="AN19" s="210">
        <f t="shared" si="18"/>
        <v>1</v>
      </c>
      <c r="AO19" s="211">
        <v>4</v>
      </c>
      <c r="AP19" s="211">
        <v>3</v>
      </c>
      <c r="AQ19" s="211">
        <v>3</v>
      </c>
      <c r="AR19" s="211">
        <v>3</v>
      </c>
      <c r="AS19" s="153">
        <f t="shared" si="18"/>
        <v>0</v>
      </c>
      <c r="AT19" s="153">
        <f t="shared" si="18"/>
        <v>0</v>
      </c>
      <c r="AU19" s="211"/>
      <c r="AV19" s="212"/>
      <c r="AW19" s="211"/>
      <c r="AX19" s="212"/>
      <c r="AY19" s="133">
        <f>SUBTOTAL(9,AY9:AY18)</f>
        <v>2857</v>
      </c>
      <c r="AZ19" s="134">
        <f>SUBTOTAL(9,AZ9:AZ18)</f>
        <v>1736</v>
      </c>
      <c r="BA19" s="134">
        <f>SUBTOTAL(9,BA9:BA18)</f>
        <v>1594</v>
      </c>
      <c r="BB19" s="134">
        <f>SUBTOTAL(9,BB9:BB18)</f>
        <v>3003</v>
      </c>
      <c r="BC19" s="135">
        <f>SUBTOTAL(9,BC9:BC18)</f>
        <v>589</v>
      </c>
      <c r="BD19" s="213">
        <f>IF(ISNUMBER(BA19/AZ19),BA19/AZ19," - ")</f>
        <v>0.91820276497695852</v>
      </c>
      <c r="BE19" s="210">
        <f>IF(ISNUMBER(BB19/BA19),BB19/BA19, " - ")</f>
        <v>1.8839397741530741</v>
      </c>
      <c r="BF19" s="210">
        <f>IF(ISNUMBER(BC19/BA19),BC19/BA19, " - ")</f>
        <v>0.36951066499372648</v>
      </c>
      <c r="BG19" s="135">
        <f>IF(ISNUMBER((AY19+AZ19)/BA19),(AY19+AZ19)/BA19," - ")</f>
        <v>2.8814303638644918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gCjoaheXc7wLiqcvVEf3RdQoGXMMEsmPomNsw7bJjY7HCWI7vKbl12CJmE9nI2zthjrR+OFpHkgK+hxcP+7g==" saltValue="gf1v6d3pF3rJl1LECUjH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NRmmi3E2ll8+OORU3UB8TkMYqjX7r2ahuaz1pepKcd2xkk00kA1CrqKYFS93bJgdsNY9ki2E59EhnL/piyw==" saltValue="49l4/yNxa6YkV0orHTqO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ARUCAS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17</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62</v>
      </c>
      <c r="O12" s="334"/>
      <c r="P12" s="334"/>
      <c r="Q12" s="226">
        <f>IF(ISNUMBER(Datos!P12),Datos!P12,0)</f>
        <v>220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108</v>
      </c>
      <c r="AI12" s="334" t="str">
        <f>IF(ISNUMBER(Datos!CD12),Datos!CD12,"-")</f>
        <v>-</v>
      </c>
      <c r="AJ12" s="334" t="str">
        <f>IF(ISNUMBER(Datos!EN12),Datos!EN12," - ")</f>
        <v xml:space="preserve"> - </v>
      </c>
      <c r="AK12" s="334"/>
      <c r="AL12" s="479"/>
      <c r="AM12" s="335">
        <f>IF(ISNUMBER(Datos!R12),Datos!R12," - ")</f>
        <v>3882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295</v>
      </c>
      <c r="BD12" s="229">
        <f>IF(ISNUMBER(Datos!N12),Datos!N12," - ")</f>
        <v>719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0.98756798756798758</v>
      </c>
      <c r="BH12" s="260">
        <f>IF(ISNUMBER(((IF(J_V="SI",Datos!L12/Datos!K12,(Datos!L12+Datos!AB12)/(Datos!K12+Datos!AA12)))*11)/factor_trimestre),((IF(J_V="SI",Datos!L12/Datos!K12,(Datos!L12+Datos!AB12)/(Datos!K12+Datos!AA12)))*11)/factor_trimestre," - ")</f>
        <v>4.5908733280881195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2.94351630867144E-2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62</v>
      </c>
      <c r="O13" s="900">
        <f t="shared" si="0"/>
        <v>0</v>
      </c>
      <c r="P13" s="900">
        <f t="shared" si="0"/>
        <v>0</v>
      </c>
      <c r="Q13" s="899">
        <f t="shared" si="0"/>
        <v>220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109</v>
      </c>
      <c r="AD13" s="899">
        <f t="shared" si="1"/>
        <v>0</v>
      </c>
      <c r="AE13" s="899">
        <f t="shared" si="1"/>
        <v>0</v>
      </c>
      <c r="AF13" s="899">
        <f t="shared" si="1"/>
        <v>17</v>
      </c>
      <c r="AG13" s="899">
        <f t="shared" si="1"/>
        <v>0</v>
      </c>
      <c r="AH13" s="899">
        <f t="shared" si="1"/>
        <v>108</v>
      </c>
      <c r="AI13" s="899">
        <f t="shared" si="1"/>
        <v>0</v>
      </c>
      <c r="AJ13" s="899">
        <f t="shared" si="1"/>
        <v>0</v>
      </c>
      <c r="AK13" s="899">
        <f t="shared" si="1"/>
        <v>0</v>
      </c>
      <c r="AL13" s="899">
        <f t="shared" si="1"/>
        <v>0</v>
      </c>
      <c r="AM13" s="899">
        <f t="shared" si="1"/>
        <v>3885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297</v>
      </c>
      <c r="BD13" s="899">
        <f t="shared" si="1"/>
        <v>719</v>
      </c>
      <c r="BE13" s="899">
        <f t="shared" si="1"/>
        <v>0</v>
      </c>
      <c r="BF13" s="899">
        <f t="shared" si="1"/>
        <v>0</v>
      </c>
      <c r="BG13" s="899">
        <f>IF(ISNUMBER(Datos!K13/Datos!J13),Datos!K13/Datos!J13," - ")</f>
        <v>1.0016299918500406</v>
      </c>
      <c r="BH13" s="903">
        <f>IF(ISNUMBER(((Datos!L13/Datos!K13)*11)/factor_trimestre),((Datos!L13/Datos!K13)*11)/factor_trimestre," - ")</f>
        <v>4.5256305939788453</v>
      </c>
      <c r="BI13" s="899">
        <f>IF(ISNUMBER('Resol  Asuntos'!D13/NºAsuntos!G13),'Resol  Asuntos'!D13/NºAsuntos!G13," - ")</f>
        <v>0.2333071484681854</v>
      </c>
      <c r="BJ13" s="899" t="str">
        <f>IF(ISNUMBER(Datos!CI13/Datos!CJ13),Datos!CI13/Datos!CJ13," - ")</f>
        <v xml:space="preserve"> - </v>
      </c>
      <c r="BK13" s="899">
        <f>SUBTOTAL(9,BK8:BK12)</f>
        <v>0</v>
      </c>
      <c r="BL13" s="899">
        <f>IF(ISNUMBER((I13-AB13+L13)/(F13)),(I13-AB13+L13)/(F13)," - ")</f>
        <v>-0.11764705882352941</v>
      </c>
      <c r="BM13" s="904">
        <f>SUBTOTAL(9,BM9:BM12)</f>
        <v>2.94351630867144E-2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788</v>
      </c>
      <c r="G16" s="598">
        <f>IF(ISNUMBER(IF(D_I="SI",Datos!I16,Datos!I16+Datos!AC16)),IF(D_I="SI",Datos!I16,Datos!I16+Datos!AC16)," - ")</f>
        <v>785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698</v>
      </c>
      <c r="AC16" s="226">
        <f>IF(ISNUMBER(Datos!Q16),Datos!Q16," - ")</f>
        <v>17</v>
      </c>
      <c r="AD16" s="334"/>
      <c r="AE16" s="484"/>
      <c r="AF16" s="596">
        <f>IF(ISNUMBER(IF(D_I="SI",Datos!L16,Datos!L16+Datos!AF16)),IF(D_I="SI",Datos!L16,Datos!L16+Datos!AF16)," - ")</f>
        <v>786</v>
      </c>
      <c r="AG16" s="334"/>
      <c r="AH16" s="334"/>
      <c r="AI16" s="334"/>
      <c r="AJ16" s="334"/>
      <c r="AK16" s="334"/>
      <c r="AL16" s="479"/>
      <c r="AM16" s="335">
        <f>IF(ISNUMBER(Datos!R16),Datos!R16," - ")</f>
        <v>122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103</v>
      </c>
      <c r="BD16" s="229">
        <f>IF(ISNUMBER(Datos!N16),Datos!N16," - ")</f>
        <v>400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1.0028735632183907</v>
      </c>
      <c r="BH16" s="260">
        <f>IF(ISNUMBER(((IF(D_I="SI",Datos!L16/Datos!K16,(Datos!L16+Datos!AF16)/(Datos!K16+Datos!AE16)))*11)/factor_trimestre),((IF(D_I="SI",Datos!L16/Datos!K16,(Datos!L16+Datos!AF16)/(Datos!K16+Datos!AE16)))*11)/factor_trimestre," - ")</f>
        <v>3.3782234957020059</v>
      </c>
      <c r="BI16" s="243">
        <f>IF(ISNUMBER('Resol  Asuntos'!D16/NºAsuntos!G16),'Resol  Asuntos'!D16/NºAsuntos!G16," - ")</f>
        <v>0.14756446991404013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v>
      </c>
      <c r="AC17" s="226">
        <f>IF(ISNUMBER(Datos!Q17),Datos!Q17," - ")</f>
        <v>4</v>
      </c>
      <c r="AD17" s="334"/>
      <c r="AE17" s="484"/>
      <c r="AF17" s="332">
        <f>IF(ISNUMBER(Datos!L17),Datos!L17,"-")</f>
        <v>68</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0.55737704918032782</v>
      </c>
      <c r="BH17" s="260">
        <f>IF(ISNUMBER(((IF(D_I="SI",Datos!L17/Datos!K17,(Datos!L17+Datos!AF17)/(Datos!K17+Datos!AE17)))*11)/factor_trimestre),((IF(D_I="SI",Datos!L17/Datos!K17,(Datos!L17+Datos!AF17)/(Datos!K17+Datos!AE17)))*11)/factor_trimestre," - ")</f>
        <v>6</v>
      </c>
      <c r="BI17" s="243">
        <f>IF(ISNUMBER('Resol  Asuntos'!D17/NºAsuntos!G17),'Resol  Asuntos'!D17/NºAsuntos!G17," - ")</f>
        <v>0.44117647058823528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788</v>
      </c>
      <c r="G18" s="898">
        <f>SUBTOTAL(9,G15:G17)</f>
        <v>826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732</v>
      </c>
      <c r="AC18" s="899">
        <f t="shared" si="4"/>
        <v>21</v>
      </c>
      <c r="AD18" s="899">
        <f t="shared" si="4"/>
        <v>0</v>
      </c>
      <c r="AE18" s="899">
        <f t="shared" si="4"/>
        <v>0</v>
      </c>
      <c r="AF18" s="899">
        <f t="shared" si="4"/>
        <v>854</v>
      </c>
      <c r="AG18" s="899">
        <f t="shared" si="4"/>
        <v>0</v>
      </c>
      <c r="AH18" s="899">
        <f t="shared" si="4"/>
        <v>0</v>
      </c>
      <c r="AI18" s="899">
        <f t="shared" si="4"/>
        <v>0</v>
      </c>
      <c r="AJ18" s="899">
        <f t="shared" si="4"/>
        <v>0</v>
      </c>
      <c r="AK18" s="899">
        <f t="shared" si="4"/>
        <v>0</v>
      </c>
      <c r="AL18" s="899">
        <f t="shared" si="4"/>
        <v>0</v>
      </c>
      <c r="AM18" s="899">
        <f t="shared" si="4"/>
        <v>125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118</v>
      </c>
      <c r="BD18" s="899">
        <f t="shared" si="4"/>
        <v>431</v>
      </c>
      <c r="BE18" s="899">
        <f t="shared" si="4"/>
        <v>0</v>
      </c>
      <c r="BF18" s="899">
        <f t="shared" si="4"/>
        <v>0</v>
      </c>
      <c r="BG18" s="899">
        <f>IF(ISNUMBER(Datos!K18/Datos!J18),Datos!K18/Datos!J18," - ")</f>
        <v>0.96697490092470273</v>
      </c>
      <c r="BH18" s="903">
        <f>IF(ISNUMBER(((Datos!L18/Datos!K18)*11)/factor_trimestre),((Datos!L18/Datos!K18)*11)/factor_trimestre," - ")</f>
        <v>3.5000000000000004</v>
      </c>
      <c r="BI18" s="899">
        <f>SUBTOTAL(9,BI15:BI17)</f>
        <v>0.58874094050227543</v>
      </c>
      <c r="BJ18" s="899">
        <f>SUBTOTAL(9,BJ15:BJ17)</f>
        <v>0</v>
      </c>
      <c r="BK18" s="899">
        <f>SUBTOTAL(9,BK15:BK17)</f>
        <v>0</v>
      </c>
      <c r="BL18" s="899">
        <f>IF(ISNUMBER((I18-AB18+L18)/(F18)),(I18-AB18+L18)/(F18)," - ")</f>
        <v>-0.92893401015228427</v>
      </c>
      <c r="BM18" s="905">
        <f>IF(ISNUMBER((Datos!P18-Datos!Q18)/(Datos!R18-Datos!P18+Datos!Q18)),(Datos!P18-Datos!Q18)/(Datos!R18-Datos!P18+Datos!Q18)," - ")</f>
        <v>3.3057851239669422E-2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805</v>
      </c>
      <c r="G19" s="820">
        <f t="shared" si="6"/>
        <v>843</v>
      </c>
      <c r="H19" s="822">
        <f t="shared" si="6"/>
        <v>0</v>
      </c>
      <c r="I19" s="820">
        <f t="shared" si="6"/>
        <v>0</v>
      </c>
      <c r="J19" s="822">
        <f t="shared" si="6"/>
        <v>0</v>
      </c>
      <c r="K19" s="822">
        <f t="shared" si="6"/>
        <v>0</v>
      </c>
      <c r="L19" s="881">
        <f t="shared" si="6"/>
        <v>0</v>
      </c>
      <c r="M19" s="881">
        <f t="shared" si="6"/>
        <v>0</v>
      </c>
      <c r="N19" s="881">
        <f t="shared" si="6"/>
        <v>62</v>
      </c>
      <c r="O19" s="881">
        <f t="shared" si="6"/>
        <v>0</v>
      </c>
      <c r="P19" s="881">
        <f t="shared" si="6"/>
        <v>0</v>
      </c>
      <c r="Q19" s="822">
        <f t="shared" si="6"/>
        <v>245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734</v>
      </c>
      <c r="AC19" s="821">
        <f t="shared" si="7"/>
        <v>130</v>
      </c>
      <c r="AD19" s="821">
        <f t="shared" si="7"/>
        <v>0</v>
      </c>
      <c r="AE19" s="821">
        <f t="shared" si="7"/>
        <v>0</v>
      </c>
      <c r="AF19" s="828">
        <f t="shared" si="7"/>
        <v>871</v>
      </c>
      <c r="AG19" s="828">
        <f t="shared" si="7"/>
        <v>0</v>
      </c>
      <c r="AH19" s="828">
        <f t="shared" si="7"/>
        <v>108</v>
      </c>
      <c r="AI19" s="828">
        <f t="shared" si="7"/>
        <v>0</v>
      </c>
      <c r="AJ19" s="821">
        <f t="shared" si="7"/>
        <v>0</v>
      </c>
      <c r="AK19" s="828">
        <f t="shared" si="7"/>
        <v>0</v>
      </c>
      <c r="AL19" s="828">
        <f t="shared" si="7"/>
        <v>0</v>
      </c>
      <c r="AM19" s="828">
        <f t="shared" si="7"/>
        <v>4010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415</v>
      </c>
      <c r="BD19" s="820">
        <f t="shared" si="7"/>
        <v>1150</v>
      </c>
      <c r="BE19" s="820">
        <f t="shared" si="7"/>
        <v>0</v>
      </c>
      <c r="BF19" s="830">
        <f t="shared" si="7"/>
        <v>0</v>
      </c>
      <c r="BG19" s="915">
        <f>IF(ISNUMBER(Datos!K19/Datos!J19),Datos!K19/Datos!J19," - ")</f>
        <v>0.98840725806451613</v>
      </c>
      <c r="BH19" s="915">
        <f>IF(ISNUMBER(((Datos!L19/Datos!K19)*11)/factor_trimestre),((Datos!L19/Datos!K19)*11)/factor_trimestre," - ")</f>
        <v>4.14278429372769</v>
      </c>
      <c r="BI19" s="813">
        <f>IF(ISNUMBER(Datos!J19/Datos!I19),Datos!J19/Datos!I19," - ")</f>
        <v>0.73974645786726323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-0.91180124223602488</v>
      </c>
      <c r="BM19" s="889">
        <f>IF(ISNUMBER((Datos!P19-Datos!Q19+R19)/(Datos!R19-Datos!P19+Datos!Q19-R19)),(Datos!P19-Datos!Q19+R19)/(Datos!R19-Datos!P19+Datos!Q19-R19)," - ")</f>
        <v>2.9525032092426188E-2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445.13705754520146</v>
      </c>
      <c r="G21" s="552">
        <f>IF(ISNUMBER(STDEV(G8:G18)),STDEV(G8:G18),"-")</f>
        <v>427.85534938808468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385.09323546382893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130.52151802161461</v>
      </c>
      <c r="BD21" s="551"/>
      <c r="BE21" s="551">
        <f>IF(ISNUMBER(STDEV(BE8:BE18)),STDEV(BE8:BE18),"-")</f>
        <v>0</v>
      </c>
      <c r="BF21" s="556">
        <f>IF(ISNUMBER(STDEV(BF8:BF18)),STDEV(BF8:BF18),"-")</f>
        <v>0</v>
      </c>
      <c r="BG21" s="775">
        <f>IF(ISNUMBER(STDEV(BG8:BG18)),STDEV(BG8:BG18),"-")</f>
        <v>0.17787457933684367</v>
      </c>
      <c r="BH21" s="776">
        <f>IF(ISNUMBER(STDEV(BH8:BH18)),STDEV(BH8:BH18),"-")</f>
        <v>8.6661601119133742</v>
      </c>
      <c r="BI21" s="249">
        <f>IF(ISNUMBER(STDEV(BI8:BI18)),STDEV(BI8:BI18),"-")</f>
        <v>0.19989884951428752</v>
      </c>
      <c r="BJ21" s="230" t="str">
        <f>IF(ISNUMBER(BL21/BM21),BL21/BM21," - ")</f>
        <v xml:space="preserve"> - </v>
      </c>
      <c r="BK21" s="575"/>
      <c r="BL21" s="559">
        <f>IF(ISNUMBER(STDEV(BL8:BL18)),STDEV(BL8:BL18),"-")</f>
        <v>0.57366650477272307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xLmAg/s1aD4i8621quPHwpgs1bcGg/FxL1MxHcaJhed/0FmzS8Yy2yEtT+xPV2DmCFgnlCHmeSTc9FfF2J8Eg==" saltValue="q5ZYITzLbrzcdWbO/bp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ARUCAS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17</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109</v>
      </c>
      <c r="AA12" s="332" t="str">
        <f>IF(ISNUMBER(IF(J_V="SI",Datos!L12,Datos!L12+Datos!AB12)-IF(Monitorios="SI",Datos!CD12,0)),
                          IF(J_V="SI",Datos!L12,Datos!L12+Datos!AB12)-IF(Monitorios="SI",Datos!CD12,0),
                          " - ")</f>
        <v xml:space="preserve"> - </v>
      </c>
      <c r="AB12" s="334"/>
      <c r="AC12" s="334"/>
      <c r="AD12" s="484"/>
      <c r="AE12" s="484">
        <f>IF(ISNUMBER(Datos!R12),Datos!R12," - ")</f>
        <v>3882</v>
      </c>
      <c r="AF12" s="229" t="str">
        <f>IF(ISNUMBER(Datos!BV12),Datos!BV12," - ")</f>
        <v xml:space="preserve"> - </v>
      </c>
      <c r="AG12" s="225" t="str">
        <f>IF(ISNUMBER(Datos!DV12),Datos!DV12," - ")</f>
        <v xml:space="preserve"> - </v>
      </c>
      <c r="AH12" s="298"/>
      <c r="AI12" s="227"/>
      <c r="AJ12" s="225">
        <f>IF(ISNUMBER(Datos!M12),Datos!M12," - ")</f>
        <v>295</v>
      </c>
      <c r="AK12" s="229">
        <f>IF(ISNUMBER(Datos!N12),Datos!N12," - ")</f>
        <v>719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4.5908733280881195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2.94351630867144E-2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220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109</v>
      </c>
      <c r="AA13" s="900">
        <f t="shared" si="2"/>
        <v>17</v>
      </c>
      <c r="AB13" s="900">
        <f t="shared" si="2"/>
        <v>0</v>
      </c>
      <c r="AC13" s="900">
        <f t="shared" si="2"/>
        <v>0</v>
      </c>
      <c r="AD13" s="900">
        <f t="shared" si="2"/>
        <v>0</v>
      </c>
      <c r="AE13" s="900">
        <f t="shared" si="2"/>
        <v>3885</v>
      </c>
      <c r="AF13" s="908">
        <f t="shared" si="2"/>
        <v>0</v>
      </c>
      <c r="AG13" s="908">
        <f t="shared" si="2"/>
        <v>0</v>
      </c>
      <c r="AH13" s="908">
        <f t="shared" si="2"/>
        <v>0</v>
      </c>
      <c r="AI13" s="908">
        <f t="shared" si="2"/>
        <v>0</v>
      </c>
      <c r="AJ13" s="908">
        <f t="shared" si="2"/>
        <v>297</v>
      </c>
      <c r="AK13" s="908">
        <f t="shared" si="2"/>
        <v>719</v>
      </c>
      <c r="AL13" s="908">
        <f t="shared" si="2"/>
        <v>0</v>
      </c>
      <c r="AM13" s="908">
        <f t="shared" si="2"/>
        <v>0</v>
      </c>
      <c r="AN13" s="908">
        <f t="shared" si="2"/>
        <v>0</v>
      </c>
      <c r="AO13" s="904">
        <f>IF(ISNUMBER(((NºAsuntos!I13/NºAsuntos!G13)*11)/factor_trimestre),((NºAsuntos!I13/NºAsuntos!G13)*11)/factor_trimestre," - ")</f>
        <v>4.6237234878240381</v>
      </c>
      <c r="AP13" s="910" t="str">
        <f>IF(ISNUMBER(Datos!CI13/Datos!CJ13),Datos!CI13/Datos!CJ13," - ")</f>
        <v xml:space="preserve"> - </v>
      </c>
      <c r="AQ13" s="928">
        <f t="shared" ref="AQ13:AV13" si="3">SUBTOTAL(9,AQ9:AQ12)</f>
        <v>0</v>
      </c>
      <c r="AR13" s="928">
        <f t="shared" si="3"/>
        <v>2.94351630867144E-2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788</v>
      </c>
      <c r="G16" s="225">
        <f>IF(ISNUMBER(IF(D_I="SI",Datos!I16,Datos!I16+Datos!AC16)),IF(D_I="SI",Datos!I16,Datos!I16+Datos!AC16)," - ")</f>
        <v>785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698</v>
      </c>
      <c r="Z16" s="619">
        <f>IF(ISNUMBER(Datos!Q16),Datos!Q16," - ")</f>
        <v>17</v>
      </c>
      <c r="AA16" s="332">
        <f>IF(ISNUMBER(IF(D_I="SI",Datos!L16,Datos!L16+Datos!AF16)),IF(D_I="SI",Datos!L16,Datos!L16+Datos!AF16)," - ")</f>
        <v>786</v>
      </c>
      <c r="AB16" s="334"/>
      <c r="AC16" s="334"/>
      <c r="AD16" s="484"/>
      <c r="AE16" s="484">
        <f>IF(ISNUMBER(Datos!R16),Datos!R16," - ")</f>
        <v>122</v>
      </c>
      <c r="AF16" s="229" t="str">
        <f>IF(ISNUMBER(Datos!BV16),Datos!BV16," - ")</f>
        <v xml:space="preserve"> - </v>
      </c>
      <c r="AG16" s="225"/>
      <c r="AH16" s="298"/>
      <c r="AI16" s="227"/>
      <c r="AJ16" s="225">
        <f>IF(ISNUMBER(Datos!M16),Datos!M16," - ")</f>
        <v>103</v>
      </c>
      <c r="AK16" s="229">
        <f>IF(ISNUMBER(Datos!N16),Datos!N16," - ")</f>
        <v>400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3.3782234957020059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v>
      </c>
      <c r="Z17" s="619">
        <f>IF(ISNUMBER(Datos!Q17),Datos!Q17," - ")</f>
        <v>4</v>
      </c>
      <c r="AA17" s="332">
        <f>IF(ISNUMBER(Datos!L17),Datos!L17,"-")</f>
        <v>68</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15</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788</v>
      </c>
      <c r="G18" s="898">
        <f>SUBTOTAL(9,G15:G17)</f>
        <v>826</v>
      </c>
      <c r="H18" s="932">
        <f>SUBTOTAL(9,H15:H17)</f>
        <v>0</v>
      </c>
      <c r="I18" s="911">
        <f>SUBTOTAL(9,I15:I17)</f>
        <v>0</v>
      </c>
      <c r="J18" s="867">
        <f>SUBTOTAL(9,J14:J17)</f>
        <v>0</v>
      </c>
      <c r="K18" s="932">
        <f t="shared" ref="K18:S18" si="4">SUBTOTAL(9,K15:K17)</f>
        <v>0</v>
      </c>
      <c r="L18" s="932">
        <f t="shared" si="4"/>
        <v>0</v>
      </c>
      <c r="M18" s="932">
        <f t="shared" si="4"/>
        <v>0</v>
      </c>
      <c r="N18" s="932">
        <f t="shared" si="4"/>
        <v>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732</v>
      </c>
      <c r="Z18" s="932">
        <f t="shared" si="5"/>
        <v>21</v>
      </c>
      <c r="AA18" s="932">
        <f t="shared" si="5"/>
        <v>854</v>
      </c>
      <c r="AB18" s="932">
        <f t="shared" si="5"/>
        <v>0</v>
      </c>
      <c r="AC18" s="932">
        <f t="shared" si="5"/>
        <v>0</v>
      </c>
      <c r="AD18" s="932">
        <f t="shared" si="5"/>
        <v>0</v>
      </c>
      <c r="AE18" s="932">
        <f t="shared" si="5"/>
        <v>125</v>
      </c>
      <c r="AF18" s="932">
        <f t="shared" si="5"/>
        <v>0</v>
      </c>
      <c r="AG18" s="932">
        <f t="shared" si="5"/>
        <v>0</v>
      </c>
      <c r="AH18" s="932">
        <f t="shared" si="5"/>
        <v>0</v>
      </c>
      <c r="AI18" s="932">
        <f t="shared" si="5"/>
        <v>0</v>
      </c>
      <c r="AJ18" s="932">
        <f t="shared" si="5"/>
        <v>118</v>
      </c>
      <c r="AK18" s="932">
        <f t="shared" si="5"/>
        <v>431</v>
      </c>
      <c r="AL18" s="932">
        <f t="shared" si="5"/>
        <v>0</v>
      </c>
      <c r="AM18" s="932">
        <f t="shared" si="5"/>
        <v>0</v>
      </c>
      <c r="AN18" s="932">
        <f t="shared" si="5"/>
        <v>0</v>
      </c>
      <c r="AO18" s="934">
        <f>IF(ISNUMBER(((NºAsuntos!I18/NºAsuntos!G18)*11)/factor_trimestre),((NºAsuntos!I18/NºAsuntos!G18)*11)/factor_trimestre," - ")</f>
        <v>3.5000000000000004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805</v>
      </c>
      <c r="G19" s="820">
        <f t="shared" si="7"/>
        <v>843</v>
      </c>
      <c r="H19" s="821">
        <f t="shared" si="7"/>
        <v>0</v>
      </c>
      <c r="I19" s="820">
        <f t="shared" si="7"/>
        <v>0</v>
      </c>
      <c r="J19" s="822">
        <f t="shared" si="7"/>
        <v>0</v>
      </c>
      <c r="K19" s="820">
        <f t="shared" si="7"/>
        <v>0</v>
      </c>
      <c r="L19" s="823">
        <f t="shared" si="7"/>
        <v>0</v>
      </c>
      <c r="M19" s="820">
        <f t="shared" si="7"/>
        <v>0</v>
      </c>
      <c r="N19" s="821">
        <f t="shared" si="7"/>
        <v>245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734</v>
      </c>
      <c r="Z19" s="827">
        <f t="shared" si="8"/>
        <v>130</v>
      </c>
      <c r="AA19" s="828">
        <f t="shared" si="8"/>
        <v>871</v>
      </c>
      <c r="AB19" s="828">
        <f t="shared" si="8"/>
        <v>0</v>
      </c>
      <c r="AC19" s="828">
        <f t="shared" si="8"/>
        <v>0</v>
      </c>
      <c r="AD19" s="829">
        <f t="shared" si="8"/>
        <v>0</v>
      </c>
      <c r="AE19" s="829">
        <f t="shared" si="8"/>
        <v>4010</v>
      </c>
      <c r="AF19" s="830">
        <f t="shared" si="8"/>
        <v>0</v>
      </c>
      <c r="AG19" s="831">
        <f t="shared" si="8"/>
        <v>0</v>
      </c>
      <c r="AH19" s="832">
        <f t="shared" si="8"/>
        <v>0</v>
      </c>
      <c r="AI19" s="830">
        <f t="shared" si="8"/>
        <v>0</v>
      </c>
      <c r="AJ19" s="820">
        <f t="shared" si="8"/>
        <v>415</v>
      </c>
      <c r="AK19" s="820">
        <f t="shared" si="8"/>
        <v>1150</v>
      </c>
      <c r="AL19" s="820">
        <f t="shared" si="8"/>
        <v>0</v>
      </c>
      <c r="AM19" s="833">
        <f t="shared" si="8"/>
        <v>0</v>
      </c>
      <c r="AN19" s="823">
        <f>IF(ISNUMBER(Datos!K19/Datos!J19),Datos!K19/Datos!J19," - ")</f>
        <v>0.98840725806451613</v>
      </c>
      <c r="AO19" s="823">
        <f>IF(ISNUMBER(FIND("06",Criterios!A8,1)),(IF(ISNUMBER(((Datos!R19/Datos!Q19)*11)/factor_trimestre),((Datos!R19/Datos!Q19)*11)/factor_trimestre," - ")),(IF(ISNUMBER(((Datos!L19/Datos!K19)*11)/factor_trimestre),((Datos!L19/Datos!K19)*11)/factor_trimestre," - ")))</f>
        <v>4.14278429372769</v>
      </c>
      <c r="AP19" s="834" t="str">
        <f>IF(ISNUMBER(Datos!CI19/Datos!CJ19),Datos!CI19/Datos!CJ19," - ")</f>
        <v xml:space="preserve"> - </v>
      </c>
      <c r="AQ19" s="834">
        <f>IF(OR(ISNUMBER(FIND("01",Criterios!A8,1)),ISNUMBER(FIND("02",Criterios!A8,1)),ISNUMBER(FIND("03",Criterios!A8,1)),ISNUMBER(FIND("04",Criterios!A8,1))),(J19-Y19+K19)/(F19-K19),(I19-Y19+K19)/(F19-K19))</f>
        <v>-0.91180124223602488</v>
      </c>
      <c r="AR19" s="834">
        <f>IF(ISNUMBER((Datos!P19-Datos!Q19+O19)/(Datos!R19-Datos!P19+Datos!Q19-O19)),(Datos!P19-Datos!Q19+O19)/(Datos!R19-Datos!P19+Datos!Q19-O19)," - ")</f>
        <v>2.9525032092426188E-2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445.13705754520146</v>
      </c>
      <c r="G21" s="552">
        <f>IF(ISNUMBER(STDEV(G8:G18)),STDEV(G8:G18),"-")</f>
        <v>427.85534938808468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130.52151802161461</v>
      </c>
      <c r="AK21" s="252"/>
      <c r="AL21" s="252">
        <f>IF(ISNUMBER(STDEV(AL8:AL18)),STDEV(AL8:AL18),"-")</f>
        <v>0</v>
      </c>
      <c r="AM21" s="254">
        <f>IF(ISNUMBER(STDEV(AM8:AM18)),STDEV(AM8:AM18),"-")</f>
        <v>0</v>
      </c>
      <c r="AN21" s="539">
        <f>IF(ISNUMBER(STDEV(AN8:AN18)),STDEV(AN8:AN18),"-")</f>
        <v>0</v>
      </c>
      <c r="AO21" s="540">
        <f>IF(ISNUMBER(STDEV(AO8:AO18)),STDEV(AO8:AO18),"-")</f>
        <v>8.6585746316321686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no0zThKL+MxzVircZM7h59kuTzds1igay22+qsfyb4fXve/DwyfTR40cx2BrMcpzHqUnBowP3r8O2bdRRa12Q==" saltValue="dWJmVZ0zieRfVQ/p9mau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emgtKI6HSML62/GezlSHfxMxQDFSNhPxzZ0tHT6Z4nfOogYJH9+oACE96sySI0HS8B35pkLZjTJnelX4uyZA==" saltValue="K/u2xuuNY9QzWNxGnM/F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dnxWbNDb7DvXFSWcXnqzF1PXrCeYKvMKmCjq1mOsI8VBN1YV0hbJF2TF6fomnC48NwVZcvZbWGlm1G670dxSg==" saltValue="/Zqf9QMTA2/Orcq2q63b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ARUCAS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0.2333071484681854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0.16497306678115053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PtJghMIsrIIoZyFtyWKwHGM3f0SCCNoz2yrTKxvdLDbLIen32HgZjSmPbuMywotbXykN6V7GiVdF4aPvj1qKA==" saltValue="wE5k7mmHFDB+mZudHgmU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bNv+7SCp3Fm+7DLpjc63eFhIb0zHa2cDTab+1Md9tmQgMM6o1BjmZa24CLOt1q5tFvAiyJC0FYZ2yRz+tR16A==" saltValue="m4VSEYwl2aJBzZ8niBVi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ARUCAS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17</v>
      </c>
      <c r="D10" s="404">
        <f>IF(ISNUMBER(C10/Datos!BH10),C10/Datos!BH10," - ")</f>
        <v>17</v>
      </c>
      <c r="E10" s="403">
        <f>IF(ISNUMBER(Datos!J10),Datos!J10," - ")</f>
        <v>2</v>
      </c>
      <c r="F10" s="404">
        <f>IF(ISNUMBER(E10/B10),E10/B10," - ")</f>
        <v>2</v>
      </c>
      <c r="G10" s="403">
        <f>IF(ISNUMBER(Datos!K10),Datos!K10," - ")</f>
        <v>2</v>
      </c>
      <c r="H10" s="404">
        <f>IF(ISNUMBER(G10/B10),G10/B10," - ")</f>
        <v>2</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1929</v>
      </c>
      <c r="D12" s="404">
        <f>IF(ISNUMBER(C12/Datos!BH12),C12/Datos!BH12," - ")</f>
        <v>643</v>
      </c>
      <c r="E12" s="403">
        <f>IF(ISNUMBER(IF(J_V="SI",Datos!J12,Datos!J12+Datos!Z12)),IF(J_V="SI",Datos!J12,Datos!J12+Datos!Z12)," - ")</f>
        <v>1287</v>
      </c>
      <c r="F12" s="404">
        <f>IF(ISNUMBER(E12/B12),E12/B12," - ")</f>
        <v>429</v>
      </c>
      <c r="G12" s="403">
        <f>IF(ISNUMBER(IF(J_V="SI",Datos!K12,Datos!K12+Datos!AA12)),IF(J_V="SI",Datos!K12,Datos!K12+Datos!AA12)," - ")</f>
        <v>1271</v>
      </c>
      <c r="H12" s="404">
        <f>IF(ISNUMBER(G12/B12),G12/B12," - ")</f>
        <v>423.66666666666669</v>
      </c>
      <c r="I12" s="403">
        <f>IF(ISNUMBER(IF(J_V="SI",Datos!L12,Datos!L12+Datos!AB12)),IF(J_V="SI",Datos!L12,Datos!L12+Datos!AB12)," - ")</f>
        <v>1945</v>
      </c>
      <c r="J12" s="404">
        <f>IF(ISNUMBER(I12/B12),I12/B12," - ")</f>
        <v>648.33333333333337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1946</v>
      </c>
      <c r="D13" s="850" t="str">
        <f>IF(ISNUMBER(C13/Datos!BI13),C13/Datos!BI13," - ")</f>
        <v xml:space="preserve"> - </v>
      </c>
      <c r="E13" s="849">
        <f>SUBTOTAL(9,E8:E12)</f>
        <v>1289</v>
      </c>
      <c r="F13" s="850">
        <f>IF(ISNUMBER(E13/B13),E13/B13," - ")</f>
        <v>429.66666666666669</v>
      </c>
      <c r="G13" s="849">
        <f>SUBTOTAL(9,G8:G12)</f>
        <v>1273</v>
      </c>
      <c r="H13" s="850">
        <f>IF(ISNUMBER(G13/B13),G13/B13," - ")</f>
        <v>424.33333333333331</v>
      </c>
      <c r="I13" s="849">
        <f>SUBTOTAL(9,I8:I12)</f>
        <v>1962</v>
      </c>
      <c r="J13" s="850">
        <f>IF(ISNUMBER(I13/B13),I13/B13," - ")</f>
        <v>654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785</v>
      </c>
      <c r="D16" s="404">
        <f>IF(ISNUMBER(C16/Datos!BH16),C16/Datos!BH16," - ")</f>
        <v>261.66666666666669</v>
      </c>
      <c r="E16" s="403">
        <f>IF(ISNUMBER(IF(D_I="SI",Datos!J16,Datos!J16+Datos!AD16)),IF(D_I="SI",Datos!J16,Datos!J16+Datos!AD16)," - ")</f>
        <v>696</v>
      </c>
      <c r="F16" s="404">
        <f>IF(ISNUMBER(E16/B16),E16/B16," - ")</f>
        <v>232</v>
      </c>
      <c r="G16" s="403">
        <f>IF(ISNUMBER(IF(D_I="SI",Datos!K16,Datos!K16+Datos!AE16)),IF(D_I="SI",Datos!K16,Datos!K16+Datos!AE16)," - ")</f>
        <v>698</v>
      </c>
      <c r="H16" s="404">
        <f>IF(ISNUMBER(G16/B16),G16/B16," - ")</f>
        <v>232.66666666666666</v>
      </c>
      <c r="I16" s="403">
        <f>IF(ISNUMBER(IF(D_I="SI",Datos!L16,Datos!L16+Datos!AF16)),IF(D_I="SI",Datos!L16,Datos!L16+Datos!AF16)," - ")</f>
        <v>786</v>
      </c>
      <c r="J16" s="404">
        <f>IF(ISNUMBER(I16/B16),I16/B16," - ")</f>
        <v>262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61</v>
      </c>
      <c r="F17" s="404">
        <f>IF(ISNUMBER(E17/B17),E17/B17," - ")</f>
        <v>61</v>
      </c>
      <c r="G17" s="403">
        <f>IF(ISNUMBER(IF(D_I="SI",Datos!K17,Datos!K17+Datos!AE17)),IF(D_I="SI",Datos!K17,Datos!K17+Datos!AE17)," - ")</f>
        <v>34</v>
      </c>
      <c r="H17" s="404">
        <f>IF(ISNUMBER(G17/B17),G17/B17," - ")</f>
        <v>34</v>
      </c>
      <c r="I17" s="403">
        <f>IF(ISNUMBER(IF(D_I="SI",Datos!L17,Datos!L17+Datos!AF17)),IF(D_I="SI",Datos!L17,Datos!L17+Datos!AF17)," - ")</f>
        <v>68</v>
      </c>
      <c r="J17" s="404">
        <f>IF(ISNUMBER(I17/B17),I17/B17," - ")</f>
        <v>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826</v>
      </c>
      <c r="D18" s="850" t="str">
        <f>IF(ISNUMBER(C18/Datos!BI18),C18/Datos!BI18," - ")</f>
        <v xml:space="preserve"> - </v>
      </c>
      <c r="E18" s="849">
        <f>SUBTOTAL(9,E14:E17)</f>
        <v>757</v>
      </c>
      <c r="F18" s="850">
        <f>IF(ISNUMBER(E18/B18),E18/B18," - ")</f>
        <v>252.33333333333334</v>
      </c>
      <c r="G18" s="849">
        <f>SUBTOTAL(9,G14:G17)</f>
        <v>732</v>
      </c>
      <c r="H18" s="850">
        <f>IF(ISNUMBER(G18/B18),G18/B18," - ")</f>
        <v>244</v>
      </c>
      <c r="I18" s="849">
        <f>SUBTOTAL(9,I14:I17)</f>
        <v>854</v>
      </c>
      <c r="J18" s="850">
        <f>IF(ISNUMBER(I18/B18),I18/B18," - ")</f>
        <v>284.66666666666669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2772</v>
      </c>
      <c r="D19" s="795" t="str">
        <f>IF(ISNUMBER(C19/Datos!BI19),C19/Datos!BI19," - ")</f>
        <v xml:space="preserve"> - </v>
      </c>
      <c r="E19" s="794">
        <f>SUBTOTAL(9,E9:E18)</f>
        <v>2046</v>
      </c>
      <c r="F19" s="795">
        <f>IF(ISNUMBER(E19/B19),E19/B19," - ")</f>
        <v>682</v>
      </c>
      <c r="G19" s="794">
        <f>SUBTOTAL(9,G9:G18)</f>
        <v>2005</v>
      </c>
      <c r="H19" s="795">
        <f>IF(ISNUMBER(G19/B19),G19/B19," - ")</f>
        <v>668.33333333333337</v>
      </c>
      <c r="I19" s="794">
        <f>SUBTOTAL(9,I9:I18)</f>
        <v>2816</v>
      </c>
      <c r="J19" s="795">
        <f>IF(ISNUMBER(I19/B19),I19/B19," - ")</f>
        <v>938.66666666666663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IOCz7LgCmiB2eQ40+ig86kZUo7lzGJtBrKbjdWXZiR+VCOunBMPPZzV3q3xKG90JkEWOdLFz304BZqh0Ma/PQ==" saltValue="KASjOoSyN5B7YBKzRaQz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ARUCAS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295</v>
      </c>
      <c r="AM12" s="690">
        <f>IF(ISNUMBER(Datos!N12+DatosP!N16),Datos!N12+DatosP!N16," - ")</f>
        <v>719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4.5908733280881195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2.94351630867144E-2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220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109</v>
      </c>
      <c r="AE13" s="939">
        <f t="shared" si="1"/>
        <v>0</v>
      </c>
      <c r="AF13" s="939">
        <f t="shared" si="1"/>
        <v>17</v>
      </c>
      <c r="AG13" s="939">
        <f t="shared" si="1"/>
        <v>0</v>
      </c>
      <c r="AH13" s="939">
        <f t="shared" si="1"/>
        <v>3882</v>
      </c>
      <c r="AI13" s="939">
        <f t="shared" si="1"/>
        <v>0</v>
      </c>
      <c r="AJ13" s="939">
        <f t="shared" si="1"/>
        <v>0</v>
      </c>
      <c r="AK13" s="939">
        <f t="shared" si="1"/>
        <v>0</v>
      </c>
      <c r="AL13" s="939">
        <f t="shared" si="1"/>
        <v>297</v>
      </c>
      <c r="AM13" s="939">
        <f t="shared" si="1"/>
        <v>719</v>
      </c>
      <c r="AN13" s="939">
        <f t="shared" si="1"/>
        <v>0</v>
      </c>
      <c r="AO13" s="939">
        <f t="shared" si="1"/>
        <v>0</v>
      </c>
      <c r="AP13" s="944">
        <f>IF(ISNUMBER(((Datos!L13/Datos!K13)*11)/factor_trimestre),((Datos!L13/Datos!K13)*11)/factor_trimestre," - ")</f>
        <v>4.5256305939788453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-0.11764705882352941</v>
      </c>
      <c r="AU13" s="939" t="str">
        <f>IF(ISNUMBER((DatosP!#REF!-DatosP!#REF!+DatosP!#REF!)/(DatosP!#REF!+DatosP!#REF!-DatosP!#REF!-DatosP!#REF!)),(DatosP!#REF!-DatosP!#REF!+DatosP!#REF!)/(DatosP!#REF!+DatosP!#REF!-DatosP!#REF!-DatosP!#REF!)," - ")</f>
        <v xml:space="preserve"> - </v>
      </c>
      <c r="AV13" s="945">
        <f>SUBTOTAL(9,AV9:AV12)</f>
        <v>2.94351630867144E-2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3.5000000000000004</v>
      </c>
      <c r="AQ18" s="944">
        <f>IF(ISNUMBER(((Datos!M18/Datos!L18)*11)/factor_trimestre),((Datos!M18/Datos!L18)*11)/factor_trimestre," - ")</f>
        <v>0.41451990632318503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3.3057851239669422E-2</v>
      </c>
      <c r="AW18" s="946">
        <f>IF(ISNUMBER((Datos!Q18-Datos!R18)/(Datos!S18-Datos!Q18+Datos!R18)),(Datos!Q18-Datos!R18)/(Datos!S18-Datos!Q18+Datos!R18)," - ")</f>
        <v>-0.11711711711711711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220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109</v>
      </c>
      <c r="AE19" s="957">
        <f t="shared" si="5"/>
        <v>0</v>
      </c>
      <c r="AF19" s="958">
        <f t="shared" si="5"/>
        <v>17</v>
      </c>
      <c r="AG19" s="958">
        <f t="shared" si="5"/>
        <v>0</v>
      </c>
      <c r="AH19" s="958">
        <f t="shared" si="5"/>
        <v>3882</v>
      </c>
      <c r="AI19" s="958">
        <f t="shared" si="5"/>
        <v>0</v>
      </c>
      <c r="AJ19" s="959">
        <f t="shared" si="5"/>
        <v>0</v>
      </c>
      <c r="AK19" s="959">
        <f t="shared" si="5"/>
        <v>0</v>
      </c>
      <c r="AL19" s="951">
        <f t="shared" si="5"/>
        <v>297</v>
      </c>
      <c r="AM19" s="951">
        <f t="shared" si="5"/>
        <v>719</v>
      </c>
      <c r="AN19" s="951">
        <f t="shared" si="5"/>
        <v>0</v>
      </c>
      <c r="AO19" s="951">
        <f t="shared" si="5"/>
        <v>0</v>
      </c>
      <c r="AP19" s="951">
        <f>IF(ISNUMBER(((Datos!L19/Datos!K19)*11)/factor_trimestre),((Datos!L19/Datos!K19)*11)/factor_trimestre," - ")</f>
        <v>4.14278429372769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-0.11764705882352941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2.9525032092426188E-2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170.32224360507547</v>
      </c>
      <c r="AM21" s="736"/>
      <c r="AN21" s="736">
        <f>IF(ISNUMBER(STDEV(AN8:AN18)),STDEV(AN8:AN18),"-")</f>
        <v>0</v>
      </c>
      <c r="AO21" s="742">
        <f>IF(ISNUMBER(STDEV(AO8:AO18)),STDEV(AO8:AO18),"-")</f>
        <v>0</v>
      </c>
      <c r="AP21" s="779">
        <f>IF(ISNUMBER(STDEV(AP8:AP18)),STDEV(AP8:AP18),"-")</f>
        <v>10.658963088679119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hMGE3wKxune5ihW8f8YboibY8OZWX2JMgilackPT9sKvBpBMwhCrLrqYzeH8l/nIn4LfP7xd5Fx6XyvIe3gRQ==" saltValue="6fU0Ezrrq7db5H1ewgT9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ARUCAS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BzLzi7bgPV/w8W9eux5Vsx3qqjZHA+QgnIMngjzub1DUPqZ+/eSP+RtYe13YoDYM+u8Y2SsFvOnU2JCnYs5sQ==" saltValue="YJ1tpgog5xExtlfIxLkm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ARUCAS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295</v>
      </c>
      <c r="E12" s="404">
        <f t="shared" si="0"/>
        <v>98.333333333333329</v>
      </c>
      <c r="F12" s="403">
        <f>IF(ISNUMBER(Datos!N12),Datos!N12," - ")</f>
        <v>719</v>
      </c>
      <c r="G12" s="404">
        <f t="shared" si="1"/>
        <v>239.66666666666666</v>
      </c>
      <c r="H12" s="403">
        <f>IF(ISNUMBER(Datos!O12),Datos!O12," - ")</f>
        <v>329</v>
      </c>
      <c r="I12" s="404">
        <f t="shared" si="2"/>
        <v>109.66666666666667</v>
      </c>
    </row>
    <row r="13" spans="1:9" ht="14.25" thickTop="1" thickBot="1">
      <c r="A13" s="848" t="str">
        <f>Datos!A13</f>
        <v>TOTAL</v>
      </c>
      <c r="B13" s="849">
        <f>Datos!AO13</f>
        <v>4</v>
      </c>
      <c r="C13" s="851">
        <f>Datos!AR13</f>
        <v>3</v>
      </c>
      <c r="D13" s="849">
        <f>SUBTOTAL(9,D9:D12)</f>
        <v>297</v>
      </c>
      <c r="E13" s="850">
        <f t="shared" si="0"/>
        <v>74.25</v>
      </c>
      <c r="F13" s="849">
        <f>SUBTOTAL(9,F9:F12)</f>
        <v>719</v>
      </c>
      <c r="G13" s="850">
        <f t="shared" si="1"/>
        <v>179.75</v>
      </c>
      <c r="H13" s="849">
        <f>SUBTOTAL(9,H9:H12)</f>
        <v>329</v>
      </c>
      <c r="I13" s="850">
        <f>IF(ISNUMBER(H13/B13),H13/B13," - ")</f>
        <v>82.25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103</v>
      </c>
      <c r="E16" s="404">
        <f t="shared" si="3"/>
        <v>34.333333333333336</v>
      </c>
      <c r="F16" s="403">
        <f>IF(ISNUMBER(Datos!N16),Datos!N16," - ")</f>
        <v>400</v>
      </c>
      <c r="G16" s="404">
        <f t="shared" si="4"/>
        <v>133.33333333333334</v>
      </c>
      <c r="H16" s="403">
        <f>IF(ISNUMBER(Datos!O16),Datos!O16," - ")</f>
        <v>8</v>
      </c>
      <c r="I16" s="404">
        <f t="shared" si="5"/>
        <v>2.6666666666666665</v>
      </c>
    </row>
    <row r="17" spans="1:9"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31</v>
      </c>
      <c r="G17" s="404">
        <f>IF(ISNUMBER(F17/B17),F17/B17," - ")</f>
        <v>31</v>
      </c>
      <c r="H17" s="403">
        <f>IF(ISNUMBER(Datos!O17),Datos!O17," - ")</f>
        <v>4</v>
      </c>
      <c r="I17" s="404">
        <f t="shared" si="5"/>
        <v>4</v>
      </c>
    </row>
    <row r="18" spans="1:9" ht="14.25" thickTop="1" thickBot="1">
      <c r="A18" s="848" t="str">
        <f>Datos!A18</f>
        <v>TOTAL</v>
      </c>
      <c r="B18" s="849">
        <f>Datos!AO18</f>
        <v>4</v>
      </c>
      <c r="C18" s="851">
        <f>Datos!AR18</f>
        <v>3</v>
      </c>
      <c r="D18" s="849">
        <f>SUBTOTAL(9,D15:D17)</f>
        <v>118</v>
      </c>
      <c r="E18" s="850">
        <f t="shared" si="3"/>
        <v>29.5</v>
      </c>
      <c r="F18" s="849">
        <f>SUBTOTAL(9,F15:F17)</f>
        <v>431</v>
      </c>
      <c r="G18" s="850">
        <f t="shared" si="4"/>
        <v>107.75</v>
      </c>
      <c r="H18" s="849">
        <f>SUBTOTAL(9,H15:H17)</f>
        <v>12</v>
      </c>
      <c r="I18" s="850">
        <f>IF(ISNUMBER(H18/B18),H18/B18," - ")</f>
        <v>3</v>
      </c>
    </row>
    <row r="19" spans="1:9" ht="14.25" thickTop="1" thickBot="1">
      <c r="A19" s="793" t="str">
        <f>Datos!A19</f>
        <v>TOTAL JURISDICCIONES</v>
      </c>
      <c r="B19" s="794">
        <f>Datos!AP19</f>
        <v>3</v>
      </c>
      <c r="C19" s="794">
        <f>Datos!AR19</f>
        <v>3</v>
      </c>
      <c r="D19" s="794">
        <f>SUBTOTAL(9,D8:D18)</f>
        <v>415</v>
      </c>
      <c r="E19" s="795">
        <f>IF(ISNUMBER(D19/B19),D19/B19," - ")</f>
        <v>138.33333333333334</v>
      </c>
      <c r="F19" s="794">
        <f>SUBTOTAL(9,F8:F18)</f>
        <v>1150</v>
      </c>
      <c r="G19" s="795">
        <f>IF(ISNUMBER(F19/B19),F19/B19," - ")</f>
        <v>383.33333333333331</v>
      </c>
      <c r="H19" s="794">
        <f>SUBTOTAL(9,H8:H18)</f>
        <v>341</v>
      </c>
      <c r="I19" s="795">
        <f>IF(ISNUMBER(H19/B19),H19/B19," - ")</f>
        <v>113.66666666666667</v>
      </c>
    </row>
    <row r="22" spans="1:9">
      <c r="A22" s="391" t="str">
        <f>Criterios!A4</f>
        <v>Fecha Informe: 29 may. 2024</v>
      </c>
    </row>
    <row r="27" spans="1:9">
      <c r="A27" s="414"/>
    </row>
  </sheetData>
  <sheetProtection algorithmName="SHA-512" hashValue="ND9sdhXCkFrD5LAzHy3p407f7uw+7wXtVJDyHTmWNKqjBHNYzdI871r3zrgycvbdrYlrMqlMl6Rmbgdq14ubwg==" saltValue="BjFpiRmXmsQRkIP98jvb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ARUCAS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220</v>
      </c>
      <c r="C12" s="434">
        <f>IF(ISNUMBER(Datos!Q12),Datos!Q12," - ")</f>
        <v>109</v>
      </c>
      <c r="D12" s="408">
        <f>IF(ISNUMBER(Datos!R12),Datos!R12," - ")</f>
        <v>3882</v>
      </c>
    </row>
    <row r="13" spans="1:4" ht="14.25" thickTop="1" thickBot="1">
      <c r="A13" s="848" t="str">
        <f>Datos!A13</f>
        <v>TOTAL</v>
      </c>
      <c r="B13" s="849">
        <f>SUBTOTAL(9,B9:B12)</f>
        <v>220</v>
      </c>
      <c r="C13" s="853">
        <f>SUBTOTAL(9,C9:C12)</f>
        <v>109</v>
      </c>
      <c r="D13" s="851">
        <f>SUBTOTAL(9,D9:D12)</f>
        <v>3885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25</v>
      </c>
      <c r="C16" s="434">
        <f>IF(ISNUMBER(Datos!Q16),Datos!Q16," - ")</f>
        <v>17</v>
      </c>
      <c r="D16" s="408">
        <f>IF(ISNUMBER(Datos!R16),Datos!R16," - ")</f>
        <v>122</v>
      </c>
    </row>
    <row r="17" spans="1:4" ht="13.5" thickBot="1">
      <c r="A17" s="402" t="str">
        <f>Datos!A17</f>
        <v>Jdos. Violencia contra la mujer</v>
      </c>
      <c r="B17" s="433">
        <f>IF(ISNUMBER(Datos!P17),Datos!P17," - ")</f>
        <v>0</v>
      </c>
      <c r="C17" s="434">
        <f>IF(ISNUMBER(Datos!Q17),Datos!Q17," - ")</f>
        <v>4</v>
      </c>
      <c r="D17" s="408">
        <f>IF(ISNUMBER(Datos!R17),Datos!R17," - ")</f>
        <v>3</v>
      </c>
    </row>
    <row r="18" spans="1:4" ht="14.25" thickTop="1" thickBot="1">
      <c r="A18" s="848" t="str">
        <f>Datos!A18</f>
        <v>TOTAL</v>
      </c>
      <c r="B18" s="849">
        <f>SUBTOTAL(9,B15:B17)</f>
        <v>25</v>
      </c>
      <c r="C18" s="853">
        <f>SUBTOTAL(9,C15:C17)</f>
        <v>21</v>
      </c>
      <c r="D18" s="851">
        <f>SUBTOTAL(9,D15:D17)</f>
        <v>125</v>
      </c>
    </row>
    <row r="19" spans="1:4" ht="16.5" customHeight="1" thickTop="1" thickBot="1">
      <c r="A19" s="793" t="str">
        <f>Datos!A19</f>
        <v>TOTAL JURISDICCIONES</v>
      </c>
      <c r="B19" s="798">
        <f>SUBTOTAL(9,B8:B18)</f>
        <v>245</v>
      </c>
      <c r="C19" s="799">
        <f>SUBTOTAL(9,C8:C18)</f>
        <v>130</v>
      </c>
      <c r="D19" s="800">
        <f>SUBTOTAL(9,D8:D18)</f>
        <v>4010</v>
      </c>
    </row>
    <row r="20" spans="1:4" ht="7.5" customHeight="1"/>
    <row r="21" spans="1:4" ht="6" customHeight="1"/>
    <row r="22" spans="1:4">
      <c r="A22" s="391" t="str">
        <f>Criterios!A4</f>
        <v>Fecha Informe: 29 may. 2024</v>
      </c>
    </row>
    <row r="27" spans="1:4">
      <c r="A27" s="414"/>
    </row>
  </sheetData>
  <sheetProtection algorithmName="SHA-512" hashValue="lAVwDo9ffbnuJZnEWiN5lTCO6hi5y1oW7iIKePzO7qxZD6s41+GHmLDYEC4wY4/0rKG6lbTmXcJnNEyRkSenJg==" saltValue="sP83hQ1t4jGxC/GzP6p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ARUCAS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0.88888888888888884</v>
      </c>
      <c r="C10" s="456">
        <f>IF(ISNUMBER((Datos!J10-Datos!T10)/Datos!T10),(Datos!J10-Datos!T10)/Datos!T10," - ")</f>
        <v>-0.7142857142857143</v>
      </c>
      <c r="D10" s="456" t="str">
        <f>IF(ISNUMBER((Datos!K10-Datos!U10)/Datos!U10),(Datos!K10-Datos!U10)/Datos!U10," - ")</f>
        <v xml:space="preserve"> - </v>
      </c>
      <c r="E10" s="456">
        <f>IF(ISNUMBER((Datos!L10-Datos!V10)/Datos!V10),(Datos!L10-Datos!V10)/Datos!V10," - ")</f>
        <v>6.25E-2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-6.5406976744186052E-2</v>
      </c>
      <c r="C12" s="456">
        <f>IF(ISNUMBER(
   IF(J_V="SI",(Datos!J12-Datos!T12)/Datos!T12,(Datos!J12+Datos!Z12-(Datos!T12+Datos!AH12))/(Datos!T12+Datos!AH12))
     ),IF(J_V="SI",(Datos!J12-Datos!T12)/Datos!T12,(Datos!J12+Datos!Z12-(Datos!T12+Datos!AH12))/(Datos!T12+Datos!AH12))," - ")</f>
        <v>0.14399999999999999</v>
      </c>
      <c r="D12" s="456">
        <f>IF(ISNUMBER(
   IF(J_V="SI",(Datos!K12-Datos!U12)/Datos!U12,(Datos!K12+Datos!AA12-(Datos!U12+Datos!AI12))/(Datos!U12+Datos!AI12))
     ),IF(J_V="SI",(Datos!K12-Datos!U12)/Datos!U12,(Datos!K12+Datos!AA12-(Datos!U12+Datos!AI12))/(Datos!U12+Datos!AI12))," - ")</f>
        <v>0.18674136321195145</v>
      </c>
      <c r="E12" s="456">
        <f>IF(ISNUMBER(
   IF(J_V="SI",(Datos!L12-Datos!V12)/Datos!V12,(Datos!L12+Datos!AB12-(Datos!V12+Datos!AJ12))/(Datos!V12+Datos!AJ12))
     ),IF(J_V="SI",(Datos!L12-Datos!V12)/Datos!V12,(Datos!L12+Datos!AB12-(Datos!V12+Datos!AJ12))/(Datos!V12+Datos!AJ12))," - ")</f>
        <v>-8.1680830972615678E-2</v>
      </c>
      <c r="F12" s="456">
        <f>IF(ISNUMBER((Datos!M12-Datos!W12)/Datos!W12),(Datos!M12-Datos!W12)/Datos!W12," - ")</f>
        <v>0.15234375</v>
      </c>
      <c r="G12" s="457">
        <f>IF(ISNUMBER((Datos!N12-Datos!X12)/Datos!X12),(Datos!N12-Datos!X12)/Datos!X12," - ")</f>
        <v>0.57330415754923414</v>
      </c>
      <c r="H12" s="455">
        <f>IF(ISNUMBER(((NºAsuntos!G12/NºAsuntos!E12)-Datos!BD12)/Datos!BD12),((NºAsuntos!G12/NºAsuntos!E12)-Datos!BD12)/Datos!BD12," - ")</f>
        <v>3.7361331478978597E-2</v>
      </c>
      <c r="I12" s="456">
        <f>IF(ISNUMBER(((NºAsuntos!I12/NºAsuntos!G12)-Datos!BE12)/Datos!BE12),((NºAsuntos!I12/NºAsuntos!G12)-Datos!BE12)/Datos!BE12," - ")</f>
        <v>-0.22618424073302237</v>
      </c>
      <c r="J12" s="461">
        <f>IF(ISNUMBER((('Resol  Asuntos'!D12/NºAsuntos!G12)-Datos!BF12)/Datos!BF12),(('Resol  Asuntos'!D12/NºAsuntos!G12)-Datos!BF12)/Datos!BF12," - ")</f>
        <v>-0.45606157903888633</v>
      </c>
      <c r="K12" s="462">
        <f>IF(ISNUMBER((((NºAsuntos!C12+NºAsuntos!E12)/NºAsuntos!G12)-Datos!BG12)/Datos!BG12),(((NºAsuntos!C12+NºAsuntos!E12)/NºAsuntos!G12)-Datos!BG12)/Datos!BG12," - ")</f>
        <v>-0.15022208274460377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-6.1263868789194403E-2</v>
      </c>
      <c r="C13" s="855">
        <f>IF(ISNUMBER(
   IF(J_V="SI",(Datos!J13-Datos!T13)/Datos!T13,(Datos!J13+Datos!Z13-(Datos!T13+Datos!AH13))/(Datos!T13+Datos!AH13))
     ),IF(J_V="SI",(Datos!J13-Datos!T13)/Datos!T13,(Datos!J13+Datos!Z13-(Datos!T13+Datos!AH13))/(Datos!T13+Datos!AH13))," - ")</f>
        <v>0.13869257950530034</v>
      </c>
      <c r="D13" s="855">
        <f>IF(ISNUMBER(
   IF(J_V="SI",(Datos!K13-Datos!U13)/Datos!U13,(Datos!K13+Datos!AA13-(Datos!U13+Datos!AI13))/(Datos!U13+Datos!AI13))
     ),IF(J_V="SI",(Datos!K13-Datos!U13)/Datos!U13,(Datos!K13+Datos!AA13-(Datos!U13+Datos!AI13))/(Datos!U13+Datos!AI13))," - ")</f>
        <v>0.18860877684407096</v>
      </c>
      <c r="E13" s="855">
        <f>IF(ISNUMBER(
   IF(J_V="SI",(Datos!L13-Datos!V13)/Datos!V13,(Datos!L13+Datos!AB13-(Datos!V13+Datos!AJ13))/(Datos!V13+Datos!AJ13))
     ),IF(J_V="SI",(Datos!L13-Datos!V13)/Datos!V13,(Datos!L13+Datos!AB13-(Datos!V13+Datos!AJ13))/(Datos!V13+Datos!AJ13))," - ")</f>
        <v>-8.0599812558575443E-2</v>
      </c>
      <c r="F13" s="856">
        <f>IF(ISNUMBER((Datos!M13-Datos!W13)/Datos!W13),(Datos!M13-Datos!W13)/Datos!W13," - ")</f>
        <v>0.16015625</v>
      </c>
      <c r="G13" s="857">
        <f>IF(ISNUMBER((Datos!N13-Datos!X13)/Datos!X13),(Datos!N13-Datos!X13)/Datos!X13," - ")</f>
        <v>0.57330415754923414</v>
      </c>
      <c r="H13" s="857">
        <f>IF(ISNUMBER(((NºAsuntos!G13/NºAsuntos!E13)-Datos!BD13)/Datos!BD13),((NºAsuntos!G13/NºAsuntos!E13)-Datos!BD13)/Datos!BD13," - ")</f>
        <v>4.3836412247857524E-2</v>
      </c>
      <c r="I13" s="857">
        <f>IF(ISNUMBER(((NºAsuntos!I13/NºAsuntos!G13)-Datos!BE13)/Datos!BE13),((NºAsuntos!I13/NºAsuntos!G13)-Datos!BE13)/Datos!BE13," - ")</f>
        <v>-0.22649049430497595</v>
      </c>
      <c r="J13" s="857">
        <f>IF(ISNUMBER((('Resol  Asuntos'!D13/NºAsuntos!G13)-Datos!BF13)/Datos!BF13),(('Resol  Asuntos'!D13/NºAsuntos!G13)-Datos!BF13)/Datos!BF13," - ")</f>
        <v>-0.45323423192685652</v>
      </c>
      <c r="K13" s="857">
        <f>IF(ISNUMBER((((NºAsuntos!C13+NºAsuntos!E13)/NºAsuntos!G13)-Datos!BG13)/Datos!BG13),(((NºAsuntos!C13+NºAsuntos!E13)/NºAsuntos!G13)-Datos!BG13)/Datos!BG13," - ")</f>
        <v>-0.15080521524081697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6.2246278755074422E-2</v>
      </c>
      <c r="C16" s="456">
        <f>IF(ISNUMBER(
   IF(D_I="SI",(Datos!J16-Datos!T16)/Datos!T16,(Datos!J16+Datos!AD16-(Datos!T16+Datos!AL16))/(Datos!T16+Datos!AL16))
     ),IF(D_I="SI",(Datos!J16-Datos!T16)/Datos!T16,(Datos!J16+Datos!AD16-(Datos!T16+Datos!AL16))/(Datos!T16+Datos!AL16))," - ")</f>
        <v>0.23404255319148937</v>
      </c>
      <c r="D16" s="456">
        <f>IF(ISNUMBER(
   IF(D_I="SI",(Datos!K16-Datos!U16)/Datos!U16,(Datos!K16+Datos!AE16-(Datos!U16+Datos!AM16))/(Datos!U16+Datos!AM16))
     ),IF(D_I="SI",(Datos!K16-Datos!U16)/Datos!U16,(Datos!K16+Datos!AE16-(Datos!U16+Datos!AM16))/(Datos!U16+Datos!AM16))," - ")</f>
        <v>0.46025104602510458</v>
      </c>
      <c r="E16" s="456">
        <f>IF(ISNUMBER(
   IF(D_I="SI",(Datos!L16-Datos!V16)/Datos!V16,(Datos!L16+Datos!AF16-(Datos!V16+Datos!AN16))/(Datos!V16+Datos!AN16))
     ),IF(D_I="SI",(Datos!L16-Datos!V16)/Datos!V16,(Datos!L16+Datos!AF16-(Datos!V16+Datos!AN16))/(Datos!V16+Datos!AN16))," - ")</f>
        <v>-5.1869722557297951E-2</v>
      </c>
      <c r="F16" s="456">
        <f>IF(ISNUMBER((Datos!M16-Datos!W16)/Datos!W16),(Datos!M16-Datos!W16)/Datos!W16," - ")</f>
        <v>-0.11206896551724138</v>
      </c>
      <c r="G16" s="457">
        <f>IF(ISNUMBER((Datos!N16-Datos!X16)/Datos!X16),(Datos!N16-Datos!X16)/Datos!X16," - ")</f>
        <v>0.29870129870129869</v>
      </c>
      <c r="H16" s="455">
        <f>IF(ISNUMBER(((NºAsuntos!G16/NºAsuntos!E16)-Datos!BD16)/Datos!BD16),((NºAsuntos!G16/NºAsuntos!E16)-Datos!BD16)/Datos!BD16," - ")</f>
        <v>0.18330688212379162</v>
      </c>
      <c r="I16" s="456">
        <f>IF(ISNUMBER(((NºAsuntos!I16/NºAsuntos!G16)-Datos!BE16)/Datos!BE16),((NºAsuntos!I16/NºAsuntos!G16)-Datos!BE16)/Datos!BE16," - ")</f>
        <v>-0.35070734582004071</v>
      </c>
      <c r="J16" s="461">
        <f>IF(ISNUMBER((('Resol  Asuntos'!D16/NºAsuntos!G16)-Datos!BF16)/Datos!BF16),(('Resol  Asuntos'!D16/NºAsuntos!G16)-Datos!BF16)/Datos!BF16," - ")</f>
        <v>-0.39193261535421398</v>
      </c>
      <c r="K16" s="462">
        <f>IF(ISNUMBER((((NºAsuntos!C16+NºAsuntos!E16)/NºAsuntos!G16)-Datos!BG16)/Datos!BG16),(((NºAsuntos!C16+NºAsuntos!E16)/NºAsuntos!G16)-Datos!BG16)/Datos!BG16," - ")</f>
        <v>-0.22163532689605428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-8.8888888888888892E-2</v>
      </c>
      <c r="C17" s="456">
        <f>IF(ISNUMBER(
   IF(D_I="SI",(Datos!J17-Datos!T17)/Datos!T17,(Datos!J17+Datos!AD17-(Datos!T17+Datos!AL17))/(Datos!T17+Datos!AL17))
     ),IF(D_I="SI",(Datos!J17-Datos!T17)/Datos!T17,(Datos!J17+Datos!AD17-(Datos!T17+Datos!AL17))/(Datos!T17+Datos!AL17))," - ")</f>
        <v>0.52500000000000002</v>
      </c>
      <c r="D17" s="456">
        <f>IF(ISNUMBER(
   IF(D_I="SI",(Datos!K17-Datos!U17)/Datos!U17,(Datos!K17+Datos!AE17-(Datos!U17+Datos!AM17))/(Datos!U17+Datos!AM17))
     ),IF(D_I="SI",(Datos!K17-Datos!U17)/Datos!U17,(Datos!K17+Datos!AE17-(Datos!U17+Datos!AM17))/(Datos!U17+Datos!AM17))," - ")</f>
        <v>-0.24444444444444444</v>
      </c>
      <c r="E17" s="456">
        <f>IF(ISNUMBER(
   IF(D_I="SI",(Datos!L17-Datos!V17)/Datos!V17,(Datos!L17+Datos!AF17-(Datos!V17+Datos!AN17))/(Datos!V17+Datos!AN17))
     ),IF(D_I="SI",(Datos!L17-Datos!V17)/Datos!V17,(Datos!L17+Datos!AF17-(Datos!V17+Datos!AN17))/(Datos!V17+Datos!AN17))," - ")</f>
        <v>0.7</v>
      </c>
      <c r="F17" s="456">
        <f>IF(ISNUMBER((Datos!M17-Datos!W17)/Datos!W17),(Datos!M17-Datos!W17)/Datos!W17," - ")</f>
        <v>-6.25E-2</v>
      </c>
      <c r="G17" s="457">
        <f>IF(ISNUMBER((Datos!N17-Datos!X17)/Datos!X17),(Datos!N17-Datos!X17)/Datos!X17," - ")</f>
        <v>0.24</v>
      </c>
      <c r="H17" s="455">
        <f>IF(ISNUMBER(((NºAsuntos!G17/NºAsuntos!E17)-Datos!BD17)/Datos!BD17),((NºAsuntos!G17/NºAsuntos!E17)-Datos!BD17)/Datos!BD17," - ")</f>
        <v>-0.50455373406193083</v>
      </c>
      <c r="I17" s="456">
        <f>IF(ISNUMBER(((NºAsuntos!I17/NºAsuntos!G17)-Datos!BE17)/Datos!BE17),((NºAsuntos!I17/NºAsuntos!G17)-Datos!BE17)/Datos!BE17," - ")</f>
        <v>1.2500000000000002</v>
      </c>
      <c r="J17" s="461">
        <f>IF(ISNUMBER((('Resol  Asuntos'!D17/NºAsuntos!G17)-Datos!BF17)/Datos!BF17),(('Resol  Asuntos'!D17/NºAsuntos!G17)-Datos!BF17)/Datos!BF17," - ")</f>
        <v>0.24080882352941169</v>
      </c>
      <c r="K17" s="462">
        <f>IF(ISNUMBER((((NºAsuntos!C17+NºAsuntos!E17)/NºAsuntos!G17)-Datos!BG17)/Datos!BG17),(((NºAsuntos!C17+NºAsuntos!E17)/NºAsuntos!G17)-Datos!BG17)/Datos!BG17," - ")</f>
        <v>0.58823529411764708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5.3571428571428568E-2</v>
      </c>
      <c r="C18" s="855">
        <f>IF(ISNUMBER(
   IF(Criterios!B14="SI",(Datos!J18-Datos!T18)/Datos!T18,(Datos!J18+Datos!AD18-(Datos!T18+Datos!AL18))/(Datos!T18+Datos!AL18))
     ),IF(Criterios!B14="SI",(Datos!J18-Datos!T18)/Datos!T18,(Datos!J18+Datos!AD18-(Datos!T18+Datos!AL18))/(Datos!T18+Datos!AL18))," - ")</f>
        <v>0.25331125827814571</v>
      </c>
      <c r="D18" s="855">
        <f>IF(ISNUMBER(
   IF(Criterios!B14="SI",(Datos!K18-Datos!U18)/Datos!U18,(Datos!K18+Datos!AE18-(Datos!U18+Datos!AM18))/(Datos!U18+Datos!AM18))
     ),IF(Criterios!B14="SI",(Datos!K18-Datos!U18)/Datos!U18,(Datos!K18+Datos!AE18-(Datos!U18+Datos!AM18))/(Datos!U18+Datos!AM18))," - ")</f>
        <v>0.39961759082217974</v>
      </c>
      <c r="E18" s="855">
        <f>IF(ISNUMBER(
   IF(Criterios!B14="SI",(Datos!L18-Datos!V18)/Datos!V18,(Datos!L18+Datos!AF18-(Datos!V18+Datos!AN18))/(Datos!V18+Datos!AN18))
     ),IF(Criterios!B14="SI",(Datos!L18-Datos!V18)/Datos!V18,(Datos!L18+Datos!AF18-(Datos!V18+Datos!AN18))/(Datos!V18+Datos!AN18))," - ")</f>
        <v>-1.7261219792865361E-2</v>
      </c>
      <c r="F18" s="856">
        <f>IF(ISNUMBER((Datos!M18-Datos!W18)/Datos!W18),(Datos!M18-Datos!W18)/Datos!W18," - ")</f>
        <v>-0.10606060606060606</v>
      </c>
      <c r="G18" s="857">
        <f>IF(ISNUMBER((Datos!N18-Datos!X18)/Datos!X18),(Datos!N18-Datos!X18)/Datos!X18," - ")</f>
        <v>0.29429429429429427</v>
      </c>
      <c r="H18" s="857">
        <f>IF(ISNUMBER(((NºAsuntos!G18/NºAsuntos!E18)-Datos!BD18)/Datos!BD18),((NºAsuntos!G18/NºAsuntos!E18)-Datos!BD18)/Datos!BD18," - ")</f>
        <v>0.11673583204306008</v>
      </c>
      <c r="I18" s="857">
        <f>IF(ISNUMBER(((NºAsuntos!I18/NºAsuntos!G18)-Datos!BE18)/Datos!BE18),((NºAsuntos!I18/NºAsuntos!G18)-Datos!BE18)/Datos!BE18," - ")</f>
        <v>-0.29785193709244334</v>
      </c>
      <c r="J18" s="857">
        <f>IF(ISNUMBER((('Resol  Asuntos'!D18/NºAsuntos!G18)-Datos!BF18)/Datos!BF18),(('Resol  Asuntos'!D18/NºAsuntos!G18)-Datos!BF18)/Datos!BF18," - ")</f>
        <v>-0.36129740023182638</v>
      </c>
      <c r="K18" s="857">
        <f>IF(ISNUMBER((((NºAsuntos!C18+NºAsuntos!E18)/NºAsuntos!G18)-Datos!BG18)/Datos!BG18),(((NºAsuntos!C18+NºAsuntos!E18)/NºAsuntos!G18)-Datos!BG18)/Datos!BG18," - ")</f>
        <v>-0.18514176942095403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-2.9751487574378718E-2</v>
      </c>
      <c r="C19" s="802">
        <f>IF(ISNUMBER(
   IF(J_V="SI",(Datos!J19-Datos!T19)/Datos!T19,(Datos!J19+Datos!Z19-(Datos!T19+Datos!AH19))/(Datos!T19+Datos!AH19))
     ),IF(J_V="SI",(Datos!J19-Datos!T19)/Datos!T19,(Datos!J19+Datos!Z19-(Datos!T19+Datos!AH19))/(Datos!T19+Datos!AH19))," - ")</f>
        <v>0.17857142857142858</v>
      </c>
      <c r="D19" s="802">
        <f>IF(ISNUMBER(
   IF(J_V="SI",(Datos!K19-Datos!U19)/Datos!U19,(Datos!K19+Datos!AA19-(Datos!U19+Datos!AI19))/(Datos!U19+Datos!AI19))
     ),IF(J_V="SI",(Datos!K19-Datos!U19)/Datos!U19,(Datos!K19+Datos!AA19-(Datos!U19+Datos!AI19))/(Datos!U19+Datos!AI19))," - ")</f>
        <v>0.25784190715181932</v>
      </c>
      <c r="E19" s="802">
        <f>IF(ISNUMBER(
   IF(J_V="SI",(Datos!L19-Datos!V19)/Datos!V19,(Datos!L19+Datos!AB19-(Datos!V19+Datos!AJ19))/(Datos!V19+Datos!AJ19))
     ),IF(J_V="SI",(Datos!L19-Datos!V19)/Datos!V19,(Datos!L19+Datos!AB19-(Datos!V19+Datos!AJ19))/(Datos!V19+Datos!AJ19))," - ")</f>
        <v>-6.2271062271062272E-2</v>
      </c>
      <c r="F19" s="803">
        <f>IF(ISNUMBER((Datos!M19-Datos!W19)/Datos!W19),(Datos!M19-Datos!W19)/Datos!W19," - ")</f>
        <v>6.9587628865979384E-2</v>
      </c>
      <c r="G19" s="804">
        <f>IF(ISNUMBER((Datos!N19-Datos!X19)/Datos!X19),(Datos!N19-Datos!X19)/Datos!X19," - ")</f>
        <v>0.45569620253164556</v>
      </c>
      <c r="H19" s="805">
        <f>IF(ISNUMBER((Tasas!B19-Datos!BD19)/Datos!BD19),(Tasas!B19-Datos!BD19)/Datos!BD19," - ")</f>
        <v>6.7259800007604301E-2</v>
      </c>
      <c r="I19" s="806">
        <f>IF(ISNUMBER((Tasas!C19-Datos!BE19)/Datos!BE19),(Tasas!C19-Datos!BE19)/Datos!BE19," - ")</f>
        <v>-0.25449380212472478</v>
      </c>
      <c r="J19" s="807">
        <f>IF(ISNUMBER((Tasas!D19-Datos!BF19)/Datos!BF19),(Tasas!D19-Datos!BF19)/Datos!BF19," - ")</f>
        <v>-0.43984690226894568</v>
      </c>
      <c r="K19" s="807">
        <f>IF(ISNUMBER((Tasas!E19-Datos!BG19)/Datos!BG19),(Tasas!E19-Datos!BG19)/Datos!BG19," - ")</f>
        <v>-0.16604178645482959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Alm+QN9uY/ea0vCm8GMw43JJY6XigiYvXZLzNNINwcqEg1tzswALZxyqHIYq8qytSv0GTrmmlkUytJdLNHy/A==" saltValue="SYW+kUjsumkDoCXox2Om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ARUCAS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8.5</v>
      </c>
      <c r="D10" s="444">
        <f>IF(ISNUMBER('Resol  Asuntos'!D10/NºAsuntos!G10),'Resol  Asuntos'!D10/NºAsuntos!G10," - ")</f>
        <v>1</v>
      </c>
      <c r="E10" s="445">
        <f>IF(ISNUMBER((NºAsuntos!C10+NºAsuntos!E10)/NºAsuntos!G10),(NºAsuntos!C10+NºAsuntos!E10)/NºAsuntos!G10," - ")</f>
        <v>9.5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0.98756798756798758</v>
      </c>
      <c r="C12" s="443">
        <f>IF(ISNUMBER(NºAsuntos!I12/NºAsuntos!G12),NºAsuntos!I12/NºAsuntos!G12," - ")</f>
        <v>1.5302911093627065</v>
      </c>
      <c r="D12" s="444">
        <f>IF(ISNUMBER('Resol  Asuntos'!D12/NºAsuntos!G12),'Resol  Asuntos'!D12/NºAsuntos!G12," - ")</f>
        <v>0.23210070810385522</v>
      </c>
      <c r="E12" s="445">
        <f>IF(ISNUMBER((NºAsuntos!C12+NºAsuntos!E12)/NºAsuntos!G12),(NºAsuntos!C12+NºAsuntos!E12)/NºAsuntos!G12," - ")</f>
        <v>2.5302911093627065</v>
      </c>
      <c r="G12" s="463"/>
    </row>
    <row r="13" spans="1:7" ht="14.25" thickTop="1" thickBot="1">
      <c r="A13" s="848" t="str">
        <f>Datos!A13</f>
        <v>TOTAL</v>
      </c>
      <c r="B13" s="858">
        <f>IF(ISNUMBER(NºAsuntos!G13/NºAsuntos!E13),NºAsuntos!G13/NºAsuntos!E13," - ")</f>
        <v>0.98758727695888282</v>
      </c>
      <c r="C13" s="859">
        <f>IF(ISNUMBER(NºAsuntos!I13/NºAsuntos!G13),NºAsuntos!I13/NºAsuntos!G13," - ")</f>
        <v>1.5412411626080125</v>
      </c>
      <c r="D13" s="860">
        <f>IF(ISNUMBER('Resol  Asuntos'!D13/NºAsuntos!G13),'Resol  Asuntos'!D13/NºAsuntos!G13," - ")</f>
        <v>0.2333071484681854</v>
      </c>
      <c r="E13" s="861">
        <f>IF(ISNUMBER((NºAsuntos!C13+NºAsuntos!E13)/NºAsuntos!G13),(NºAsuntos!C13+NºAsuntos!E13)/NºAsuntos!G13," - ")</f>
        <v>2.5412411626080127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1.0028735632183907</v>
      </c>
      <c r="C16" s="443">
        <f>IF(ISNUMBER(NºAsuntos!I16/NºAsuntos!G16),NºAsuntos!I16/NºAsuntos!G16," - ")</f>
        <v>1.1260744985673352</v>
      </c>
      <c r="D16" s="444">
        <f>IF(ISNUMBER('Resol  Asuntos'!D16/NºAsuntos!G16),'Resol  Asuntos'!D16/NºAsuntos!G16," - ")</f>
        <v>0.14756446991404013</v>
      </c>
      <c r="E16" s="445">
        <f>IF(ISNUMBER((NºAsuntos!C16+NºAsuntos!E16)/NºAsuntos!G16),(NºAsuntos!C16+NºAsuntos!E16)/NºAsuntos!G16," - ")</f>
        <v>2.1217765042979941</v>
      </c>
      <c r="G16" s="463"/>
    </row>
    <row r="17" spans="1:7" ht="13.5" thickBot="1">
      <c r="A17" s="402" t="str">
        <f>Datos!A17</f>
        <v>Jdos. Violencia contra la mujer</v>
      </c>
      <c r="B17" s="442">
        <f>IF(ISNUMBER(NºAsuntos!G17/NºAsuntos!E17),NºAsuntos!G17/NºAsuntos!E17," - ")</f>
        <v>0.55737704918032782</v>
      </c>
      <c r="C17" s="443">
        <f>IF(ISNUMBER(NºAsuntos!I17/NºAsuntos!G17),NºAsuntos!I17/NºAsuntos!G17," - ")</f>
        <v>2</v>
      </c>
      <c r="D17" s="444">
        <f>IF(ISNUMBER('Resol  Asuntos'!D17/NºAsuntos!G17),'Resol  Asuntos'!D17/NºAsuntos!G17," - ")</f>
        <v>0.44117647058823528</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0.96697490092470273</v>
      </c>
      <c r="C18" s="859">
        <f>IF(ISNUMBER(NºAsuntos!I18/NºAsuntos!G18),NºAsuntos!I18/NºAsuntos!G18," - ")</f>
        <v>1.1666666666666667</v>
      </c>
      <c r="D18" s="862">
        <f>IF(ISNUMBER('Resol  Asuntos'!D18/NºAsuntos!G18),'Resol  Asuntos'!D18/NºAsuntos!G18," - ")</f>
        <v>0.16120218579234974</v>
      </c>
      <c r="E18" s="861">
        <f>IF(ISNUMBER((NºAsuntos!C18+NºAsuntos!E18)/NºAsuntos!G18),(NºAsuntos!C18+NºAsuntos!E18)/NºAsuntos!G18," - ")</f>
        <v>2.1625683060109289</v>
      </c>
      <c r="G18" s="463"/>
    </row>
    <row r="19" spans="1:7" ht="15.75" customHeight="1" thickTop="1" thickBot="1">
      <c r="A19" s="793" t="str">
        <f>Datos!A19</f>
        <v>TOTAL JURISDICCIONES</v>
      </c>
      <c r="B19" s="808">
        <f>IF(ISNUMBER(NºAsuntos!G19/NºAsuntos!E19),NºAsuntos!G19/NºAsuntos!E19," - ")</f>
        <v>0.97996089931573804</v>
      </c>
      <c r="C19" s="809">
        <f>IF(ISNUMBER(NºAsuntos!I19/NºAsuntos!G19),NºAsuntos!I19/NºAsuntos!G19," - ")</f>
        <v>1.4044887780548629</v>
      </c>
      <c r="D19" s="810">
        <f>IF(ISNUMBER('Resol  Asuntos'!D19/NºAsuntos!G19),'Resol  Asuntos'!D19/NºAsuntos!G19," - ")</f>
        <v>0.20698254364089774</v>
      </c>
      <c r="E19" s="811">
        <f>IF(ISNUMBER((NºAsuntos!C19+NºAsuntos!E19)/NºAsuntos!G19),(NºAsuntos!C19+NºAsuntos!E19)/NºAsuntos!G19," - ")</f>
        <v>2.4029925187032419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IgIswiEkkKSEZ9cgSsFZxwOa4/erS3vaaL1zl6bn46UXdYPGtSCXzd6aEE4S8E7+ryX+8RA8boL+olOLLL3gg==" saltValue="1863VXLJSkI/ops4bW3Y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ARUCAS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17</v>
      </c>
      <c r="AB10" s="334">
        <f>IF(ISNUMBER(Datos!R10),Datos!R10," - ")</f>
        <v>3</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25.5</v>
      </c>
      <c r="AN10" s="244">
        <f>IF(ISNUMBER('Resol  Asuntos'!D10/NºAsuntos!G10),'Resol  Asuntos'!D10/NºAsuntos!G10," - ")</f>
        <v>1</v>
      </c>
      <c r="AO10" s="245">
        <f>IF(ISNUMBER((NºAsuntos!C10+NºAsuntos!E10)/NºAsuntos!G10),(NºAsuntos!C10+NºAsuntos!E10)/NºAsuntos!G10," - ")</f>
        <v>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109</v>
      </c>
      <c r="Y12" s="334">
        <f t="shared" si="0"/>
        <v>109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295</v>
      </c>
      <c r="AJ12" s="229" t="str">
        <f>IF(ISNUMBER(Datos!BW12),Datos!BW12," - ")</f>
        <v xml:space="preserve"> - </v>
      </c>
      <c r="AK12" s="228" t="str">
        <f>IF(ISNUMBER(Datos!BX12),Datos!BX12," - ")</f>
        <v xml:space="preserve"> - </v>
      </c>
      <c r="AL12" s="243">
        <f>IF(ISNUMBER(NºAsuntos!G12/NºAsuntos!E12),NºAsuntos!G12/NºAsuntos!E12," - ")</f>
        <v>0.98756798756798758</v>
      </c>
      <c r="AM12" s="260">
        <f>IF(ISNUMBER(((NºAsuntos!I12/NºAsuntos!G12)*11)/factor_trimestre),((NºAsuntos!I12/NºAsuntos!G12)*11)/factor_trimestre," - ")</f>
        <v>4.5908733280881195</v>
      </c>
      <c r="AN12" s="244">
        <f>IF(ISNUMBER('Resol  Asuntos'!D12/NºAsuntos!G12),'Resol  Asuntos'!D12/NºAsuntos!G12," - ")</f>
        <v>0.23210070810385522</v>
      </c>
      <c r="AO12" s="245">
        <f>IF(ISNUMBER((NºAsuntos!C12+NºAsuntos!E12)/NºAsuntos!G12),(NºAsuntos!C12+NºAsuntos!E12)/NºAsuntos!G12," - ")</f>
        <v>2.5302911093627065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17</v>
      </c>
      <c r="G13" s="866">
        <f t="shared" si="3"/>
        <v>17</v>
      </c>
      <c r="H13" s="865">
        <f t="shared" si="3"/>
        <v>0</v>
      </c>
      <c r="I13" s="867">
        <f t="shared" si="3"/>
        <v>0</v>
      </c>
      <c r="J13" s="867">
        <f t="shared" si="3"/>
        <v>0</v>
      </c>
      <c r="K13" s="867">
        <f t="shared" si="3"/>
        <v>0</v>
      </c>
      <c r="L13" s="867">
        <f t="shared" si="3"/>
        <v>220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109</v>
      </c>
      <c r="Y13" s="868">
        <f t="shared" si="4"/>
        <v>111</v>
      </c>
      <c r="Z13" s="868">
        <f t="shared" si="4"/>
        <v>0</v>
      </c>
      <c r="AA13" s="868">
        <f t="shared" si="4"/>
        <v>17</v>
      </c>
      <c r="AB13" s="868">
        <f t="shared" si="4"/>
        <v>3885</v>
      </c>
      <c r="AC13" s="868">
        <f t="shared" si="4"/>
        <v>20</v>
      </c>
      <c r="AD13" s="868">
        <f t="shared" si="4"/>
        <v>0</v>
      </c>
      <c r="AE13" s="872">
        <f t="shared" si="4"/>
        <v>0</v>
      </c>
      <c r="AF13" s="865">
        <f t="shared" si="4"/>
        <v>0</v>
      </c>
      <c r="AG13" s="873">
        <f t="shared" si="4"/>
        <v>0</v>
      </c>
      <c r="AH13" s="870">
        <f t="shared" si="4"/>
        <v>0</v>
      </c>
      <c r="AI13" s="865">
        <f t="shared" si="4"/>
        <v>297</v>
      </c>
      <c r="AJ13" s="867">
        <f t="shared" si="4"/>
        <v>0</v>
      </c>
      <c r="AK13" s="870">
        <f>SUBTOTAL(9,AK9:AK12)</f>
        <v>0</v>
      </c>
      <c r="AL13" s="874">
        <f>IF(ISNUMBER(NºAsuntos!G13/NºAsuntos!E13),NºAsuntos!G13/NºAsuntos!E13," - ")</f>
        <v>0.98758727695888282</v>
      </c>
      <c r="AM13" s="874">
        <f>IF(ISNUMBER(((NºAsuntos!I13/NºAsuntos!G13)*11)/factor_trimestre),((NºAsuntos!I13/NºAsuntos!G13)*11)/factor_trimestre," - ")</f>
        <v>4.6237234878240381</v>
      </c>
      <c r="AN13" s="875">
        <f>IF(ISNUMBER('Resol  Asuntos'!D13/NºAsuntos!G13),'Resol  Asuntos'!D13/NºAsuntos!G13," - ")</f>
        <v>0.2333071484681854</v>
      </c>
      <c r="AO13" s="876">
        <f>IF(ISNUMBER((NºAsuntos!C13+NºAsuntos!E13)/NºAsuntos!G13),(NºAsuntos!C13+NºAsuntos!E13)/NºAsuntos!G13," - ")</f>
        <v>2.5412411626080127</v>
      </c>
      <c r="AP13" s="877" t="str">
        <f t="shared" si="2"/>
        <v xml:space="preserve"> - </v>
      </c>
      <c r="AQ13" s="877">
        <f>IF(ISNUMBER((H13-W13+K13)/(F13)),(H13-W13+K13)/(F13)," - ")</f>
        <v>-0.11764705882352941</v>
      </c>
      <c r="AR13" s="878">
        <f>IF(ISNUMBER((Datos!P13-Datos!Q13)/(Datos!R13-Datos!P13+Datos!Q13)),(Datos!P13-Datos!Q13)/(Datos!R13-Datos!P13+Datos!Q13)," - ")</f>
        <v>2.9411764705882353E-2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788</v>
      </c>
      <c r="G16" s="333">
        <f>IF(ISNUMBER(IF(D_I="SI",Datos!I16,Datos!I16+Datos!AC16)),IF(D_I="SI",Datos!I16,Datos!I16+Datos!AC16)," - ")</f>
        <v>785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698</v>
      </c>
      <c r="X16" s="226">
        <f>IF(ISNUMBER(Datos!Q16),Datos!Q16," - ")</f>
        <v>17</v>
      </c>
      <c r="Y16" s="334">
        <f t="shared" ref="Y16:Y17" si="7">SUM(W16:X16)</f>
        <v>715</v>
      </c>
      <c r="Z16" s="335" t="str">
        <f>IF(ISNUMBER(Datos!CC16),Datos!CC16," - ")</f>
        <v xml:space="preserve"> - </v>
      </c>
      <c r="AA16" s="332">
        <f>IF(ISNUMBER(IF(D_I="SI",Datos!L16,Datos!L16+Datos!AF16)),IF(D_I="SI",Datos!L16,Datos!L16+Datos!AF16)," - ")</f>
        <v>786</v>
      </c>
      <c r="AB16" s="334">
        <f>IF(ISNUMBER(Datos!R16),Datos!R16," - ")</f>
        <v>122</v>
      </c>
      <c r="AC16" s="334">
        <f t="shared" si="6"/>
        <v>908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103</v>
      </c>
      <c r="AJ16" s="231" t="str">
        <f>IF(ISNUMBER(Datos!BW16),Datos!BW16," - ")</f>
        <v xml:space="preserve"> - </v>
      </c>
      <c r="AK16" s="232" t="str">
        <f>IF(ISNUMBER(Datos!BX16),Datos!BX16," - ")</f>
        <v xml:space="preserve"> - </v>
      </c>
      <c r="AL16" s="243">
        <f>IF(ISNUMBER(NºAsuntos!G16/NºAsuntos!E16),NºAsuntos!G16/NºAsuntos!E16," - ")</f>
        <v>1.0028735632183907</v>
      </c>
      <c r="AM16" s="260">
        <f>IF(ISNUMBER(((NºAsuntos!I16/NºAsuntos!G16)*11)/factor_trimestre),((NºAsuntos!I16/NºAsuntos!G16)*11)/factor_trimestre," - ")</f>
        <v>3.3782234957020059</v>
      </c>
      <c r="AN16" s="244">
        <f>IF(ISNUMBER('Resol  Asuntos'!D16/NºAsuntos!G16),'Resol  Asuntos'!D16/NºAsuntos!G16," - ")</f>
        <v>0.14756446991404013</v>
      </c>
      <c r="AO16" s="245">
        <f>IF(ISNUMBER((NºAsuntos!C16+NºAsuntos!E16)/NºAsuntos!G16),(NºAsuntos!C16+NºAsuntos!E16)/NºAsuntos!G16," - ")</f>
        <v>2.1217765042979941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v>
      </c>
      <c r="X17" s="226">
        <f>IF(ISNUMBER(Datos!Q17),Datos!Q17," - ")</f>
        <v>4</v>
      </c>
      <c r="Y17" s="334">
        <f t="shared" si="7"/>
        <v>38</v>
      </c>
      <c r="Z17" s="335" t="str">
        <f>IF(ISNUMBER(Datos!CC17),Datos!CC17," - ")</f>
        <v xml:space="preserve"> - </v>
      </c>
      <c r="AA17" s="332">
        <f>IF(ISNUMBER(Datos!L17),Datos!L17,"-")</f>
        <v>68</v>
      </c>
      <c r="AB17" s="334">
        <f>IF(ISNUMBER(Datos!R17),Datos!R17," - ")</f>
        <v>3</v>
      </c>
      <c r="AC17" s="334">
        <f t="shared" si="6"/>
        <v>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0.55737704918032782</v>
      </c>
      <c r="AM17" s="260">
        <f>IF(ISNUMBER(((NºAsuntos!I17/NºAsuntos!G17)*11)/factor_trimestre),((NºAsuntos!I17/NºAsuntos!G17)*11)/factor_trimestre," - ")</f>
        <v>6</v>
      </c>
      <c r="AN17" s="244">
        <f>IF(ISNUMBER('Resol  Asuntos'!D17/NºAsuntos!G17),'Resol  Asuntos'!D17/NºAsuntos!G17," - ")</f>
        <v>0.44117647058823528</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788</v>
      </c>
      <c r="G18" s="866">
        <f>SUBTOTAL(9,G15:G17)</f>
        <v>826</v>
      </c>
      <c r="H18" s="865">
        <f t="shared" ref="H18:O18" si="10">SUBTOTAL(9,H14:H17)</f>
        <v>0</v>
      </c>
      <c r="I18" s="867">
        <f t="shared" si="10"/>
        <v>0</v>
      </c>
      <c r="J18" s="867">
        <f t="shared" si="10"/>
        <v>0</v>
      </c>
      <c r="K18" s="867">
        <f t="shared" si="10"/>
        <v>0</v>
      </c>
      <c r="L18" s="867">
        <f t="shared" si="10"/>
        <v>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732</v>
      </c>
      <c r="X18" s="867">
        <f t="shared" si="11"/>
        <v>21</v>
      </c>
      <c r="Y18" s="868">
        <f t="shared" si="11"/>
        <v>753</v>
      </c>
      <c r="Z18" s="868">
        <f t="shared" si="11"/>
        <v>0</v>
      </c>
      <c r="AA18" s="868">
        <f t="shared" si="11"/>
        <v>854</v>
      </c>
      <c r="AB18" s="868">
        <f t="shared" si="11"/>
        <v>125</v>
      </c>
      <c r="AC18" s="868">
        <f t="shared" si="11"/>
        <v>979</v>
      </c>
      <c r="AD18" s="868">
        <f t="shared" si="11"/>
        <v>0</v>
      </c>
      <c r="AE18" s="872">
        <f t="shared" si="11"/>
        <v>0</v>
      </c>
      <c r="AF18" s="865">
        <f t="shared" si="11"/>
        <v>0</v>
      </c>
      <c r="AG18" s="873">
        <f t="shared" si="11"/>
        <v>0</v>
      </c>
      <c r="AH18" s="870">
        <f t="shared" si="11"/>
        <v>0</v>
      </c>
      <c r="AI18" s="865">
        <f t="shared" si="11"/>
        <v>118</v>
      </c>
      <c r="AJ18" s="867">
        <f t="shared" si="11"/>
        <v>0</v>
      </c>
      <c r="AK18" s="870">
        <f t="shared" si="11"/>
        <v>0</v>
      </c>
      <c r="AL18" s="874">
        <f>IF(ISNUMBER(NºAsuntos!G18/NºAsuntos!E18),NºAsuntos!G18/NºAsuntos!E18," - ")</f>
        <v>0.96697490092470273</v>
      </c>
      <c r="AM18" s="874">
        <f>IF(ISNUMBER(((NºAsuntos!I18/NºAsuntos!G18)*11)/factor_trimestre),((NºAsuntos!I18/NºAsuntos!G18)*11)/factor_trimestre," - ")</f>
        <v>3.5000000000000004</v>
      </c>
      <c r="AN18" s="875">
        <f>IF(ISNUMBER('Resol  Asuntos'!D18/NºAsuntos!G18),'Resol  Asuntos'!D18/NºAsuntos!G18," - ")</f>
        <v>0.16120218579234974</v>
      </c>
      <c r="AO18" s="876">
        <f>IF(ISNUMBER((NºAsuntos!C18+NºAsuntos!E18)/NºAsuntos!G18),(NºAsuntos!C18+NºAsuntos!E18)/NºAsuntos!G18," - ")</f>
        <v>2.1625683060109289</v>
      </c>
      <c r="AP18" s="877" t="str">
        <f t="shared" si="2"/>
        <v xml:space="preserve"> - </v>
      </c>
      <c r="AQ18" s="877">
        <f>IF(ISNUMBER((H18-W18+K18)/(F18)),(H18-W18+K18)/(F18)," - ")</f>
        <v>-0.92893401015228427</v>
      </c>
      <c r="AR18" s="878">
        <f>IF(ISNUMBER((Datos!P18-Datos!Q18)/(Datos!R18-Datos!P18+Datos!Q18)),(Datos!P18-Datos!Q18)/(Datos!R18-Datos!P18+Datos!Q18)," - ")</f>
        <v>3.3057851239669422E-2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805</v>
      </c>
      <c r="G19" s="821">
        <f t="shared" si="13"/>
        <v>843</v>
      </c>
      <c r="H19" s="820">
        <f t="shared" si="13"/>
        <v>0</v>
      </c>
      <c r="I19" s="822">
        <f t="shared" si="13"/>
        <v>0</v>
      </c>
      <c r="J19" s="822">
        <f t="shared" si="13"/>
        <v>0</v>
      </c>
      <c r="K19" s="881">
        <f t="shared" si="13"/>
        <v>0</v>
      </c>
      <c r="L19" s="822">
        <f t="shared" si="13"/>
        <v>245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734</v>
      </c>
      <c r="X19" s="821">
        <f t="shared" si="14"/>
        <v>130</v>
      </c>
      <c r="Y19" s="828">
        <f t="shared" si="14"/>
        <v>864</v>
      </c>
      <c r="Z19" s="828">
        <f t="shared" si="14"/>
        <v>0</v>
      </c>
      <c r="AA19" s="828">
        <f t="shared" si="14"/>
        <v>871</v>
      </c>
      <c r="AB19" s="828">
        <f t="shared" si="14"/>
        <v>4010</v>
      </c>
      <c r="AC19" s="828">
        <f t="shared" si="14"/>
        <v>999</v>
      </c>
      <c r="AD19" s="828">
        <f t="shared" si="14"/>
        <v>0</v>
      </c>
      <c r="AE19" s="830">
        <f t="shared" si="14"/>
        <v>0</v>
      </c>
      <c r="AF19" s="831">
        <f t="shared" si="14"/>
        <v>0</v>
      </c>
      <c r="AG19" s="832">
        <f t="shared" si="14"/>
        <v>0</v>
      </c>
      <c r="AH19" s="830">
        <f t="shared" si="14"/>
        <v>0</v>
      </c>
      <c r="AI19" s="820">
        <f t="shared" si="14"/>
        <v>415</v>
      </c>
      <c r="AJ19" s="820">
        <f t="shared" si="14"/>
        <v>0</v>
      </c>
      <c r="AK19" s="830">
        <f t="shared" si="14"/>
        <v>0</v>
      </c>
      <c r="AL19" s="884">
        <f>IF(ISNUMBER(NºAsuntos!G19/NºAsuntos!E19),NºAsuntos!G19/NºAsuntos!E19," - ")</f>
        <v>0.97996089931573804</v>
      </c>
      <c r="AM19" s="885">
        <f>IF(ISNUMBER(((NºAsuntos!I19/NºAsuntos!G19)*11)/factor_trimestre),((NºAsuntos!I19/NºAsuntos!G19)*11)/factor_trimestre," - ")</f>
        <v>4.2134663341645888</v>
      </c>
      <c r="AN19" s="885">
        <f>IF(ISNUMBER('Resol  Asuntos'!D19/NºAsuntos!G19),'Resol  Asuntos'!D19/NºAsuntos!G19," - ")</f>
        <v>0.20698254364089774</v>
      </c>
      <c r="AO19" s="886">
        <f>IF(ISNUMBER((NºAsuntos!C19+NºAsuntos!E19)/NºAsuntos!G19),(NºAsuntos!C19+NºAsuntos!E19)/NºAsuntos!G19," - ")</f>
        <v>2.4029925187032419</v>
      </c>
      <c r="AP19" s="887" t="str">
        <f t="shared" si="2"/>
        <v xml:space="preserve"> - </v>
      </c>
      <c r="AQ19" s="888">
        <f>IF(OR(ISNUMBER(FIND("01",Criterios!A8,1)),ISNUMBER(FIND("02",Criterios!A8,1)),ISNUMBER(FIND("03",Criterios!A8,1)),ISNUMBER(FIND("04",Criterios!A8,1))),(I19-W19+K19)/(F19-K19),(H19-W19+K19)/(F19-K19))</f>
        <v>-0.91180124223602488</v>
      </c>
      <c r="AR19" s="889">
        <f>IF(ISNUMBER((Datos!P19-Datos!Q19)/(Datos!R19-Datos!P19+Datos!Q19)),(Datos!P19-Datos!Q19)/(Datos!R19-Datos!P19+Datos!Q19)," - ")</f>
        <v>2.9525032092426188E-2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445.13705754520146</v>
      </c>
      <c r="G21" s="253">
        <f>IF(ISNUMBER(STDEV(G8:G18)),STDEV(G8:G18),"-")</f>
        <v>427.85534938808468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385.09323546382893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130.52151802161461</v>
      </c>
      <c r="AJ21" s="252">
        <f t="shared" si="18"/>
        <v>0</v>
      </c>
      <c r="AK21" s="254">
        <f t="shared" si="18"/>
        <v>0</v>
      </c>
      <c r="AL21" s="249">
        <f t="shared" si="18"/>
        <v>0.17666454466648157</v>
      </c>
      <c r="AM21" s="250">
        <f t="shared" si="18"/>
        <v>8.6585746316321686</v>
      </c>
      <c r="AN21" s="250">
        <f t="shared" si="18"/>
        <v>0.32641621600850385</v>
      </c>
      <c r="AO21" s="251">
        <f t="shared" si="18"/>
        <v>2.8870638989945423</v>
      </c>
      <c r="AP21" s="291" t="str">
        <f t="shared" si="18"/>
        <v>-</v>
      </c>
      <c r="AQ21" s="292">
        <f t="shared" si="18"/>
        <v>0.57366650477272307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vbpqsRldMuwAWu0RRg/qe3JAn2+Yfb0F/vRGJgzSFaLkXM7EPtiOcslpWX0fP/R9UKl0WD5pGgtQ/Ev5I0NQ==" saltValue="F+mXEl1XLosMI6edKbEl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ARUCAS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0.88888888888888884</v>
      </c>
      <c r="E10" s="348">
        <f>IF(ISNUMBER((Datos!J10-Datos!T10)/Datos!T10),(Datos!J10-Datos!T10)/Datos!T10," - ")</f>
        <v>-0.7142857142857143</v>
      </c>
      <c r="F10" s="348" t="str">
        <f>IF(ISNUMBER((Datos!K10-Datos!U10)/Datos!U10),(Datos!K10-Datos!U10)/Datos!U10," - ")</f>
        <v xml:space="preserve"> - </v>
      </c>
      <c r="G10" s="349">
        <f>IF(ISNUMBER((Datos!L10-Datos!V10)/Datos!V10),(Datos!L10-Datos!V10)/Datos!V10," - ")</f>
        <v>6.25E-2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0.15234375</v>
      </c>
      <c r="I12" s="350">
        <f>IF(ISNUMBER((Tasas!C12-Datos!BE12)/Datos!BE12),(Tasas!C12-Datos!BE12)/Datos!BE12," - ")</f>
        <v>-0.22618424073302237</v>
      </c>
      <c r="J12" s="349">
        <f>IF(ISNUMBER((Tasas!D12-Datos!BF12)/Datos!BF12),(Tasas!D12-Datos!BF12)/Datos!BF12," - ")</f>
        <v>-0.45606157903888633</v>
      </c>
      <c r="K12" s="351">
        <f>IF(ISNUMBER((Tasas!E12-Datos!BG12)/Datos!BG12),(Tasas!E12-Datos!BG12)/Datos!BG12," - ")</f>
        <v>-0.15022208274460377</v>
      </c>
      <c r="M12" t="e">
        <f>IF(Monitorios="SI",Datos!CE12,0)</f>
        <v>#REF!</v>
      </c>
      <c r="N12" t="e">
        <f>IF(Monitorios="SI",Datos!CF12,0)</f>
        <v>#REF!</v>
      </c>
      <c r="O12" t="e">
        <f>IF(Monitorios="SI",Datos!CG12,0)</f>
        <v>#REF!</v>
      </c>
      <c r="P12" t="e">
        <f>IF(Monitorios="SI",Datos!CH12,0)</f>
        <v>#REF!</v>
      </c>
      <c r="Q12">
        <f>IF(J_V="SI",0,Datos!AG12)</f>
        <v>128</v>
      </c>
      <c r="R12">
        <f>IF(J_V="SI",0,Datos!AH12)</f>
        <v>47</v>
      </c>
      <c r="S12">
        <f>IF(J_V="SI",0,Datos!AI12)</f>
        <v>66</v>
      </c>
      <c r="T12">
        <f>IF(J_V="SI",0,Datos!AJ12)</f>
        <v>109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0.16015625</v>
      </c>
      <c r="I13" s="357">
        <f>IF(ISNUMBER((Tasas!C13-Datos!BE13)/Datos!BE13),(Tasas!C13-Datos!BE13)/Datos!BE13," - ")</f>
        <v>-0.22649049430497595</v>
      </c>
      <c r="J13" s="355">
        <f>IF(ISNUMBER((Tasas!D13-Datos!BF13)/Datos!BF13),(Tasas!D13-Datos!BF13)/Datos!BF13," - ")</f>
        <v>-0.45323423192685652</v>
      </c>
      <c r="K13" s="358">
        <f>IF(ISNUMBER((Tasas!E13-Datos!BG13)/Datos!BG13),(Tasas!E13-Datos!BG13)/Datos!BG13," - ")</f>
        <v>-0.15080521524081697</v>
      </c>
      <c r="M13" t="e">
        <f>IF(Monitorios="SI",Datos!CE13,0)</f>
        <v>#REF!</v>
      </c>
      <c r="N13" t="e">
        <f>IF(Monitorios="SI",Datos!CF13,0)</f>
        <v>#REF!</v>
      </c>
      <c r="O13" t="e">
        <f>IF(Monitorios="SI",Datos!CG13,0)</f>
        <v>#REF!</v>
      </c>
      <c r="P13" t="e">
        <f>IF(Monitorios="SI",Datos!CH13,0)</f>
        <v>#REF!</v>
      </c>
      <c r="Q13">
        <f>IF(J_V="SI",0,Datos!AG13)</f>
        <v>128</v>
      </c>
      <c r="R13">
        <f>IF(J_V="SI",0,Datos!AH13)</f>
        <v>47</v>
      </c>
      <c r="S13">
        <f>IF(J_V="SI",0,Datos!AI13)</f>
        <v>66</v>
      </c>
      <c r="T13">
        <f>IF(J_V="SI",0,Datos!AJ13)</f>
        <v>109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6.2246278755074422E-2</v>
      </c>
      <c r="E16" s="348">
        <f>IF(ISNUMBER(
   IF(D_I="SI",(Datos!J16-Datos!T16)/Datos!T16,(Datos!J16+Datos!AD16-(Datos!T16+Datos!AL16))/(Datos!T16+Datos!AL16))
     ),IF(D_I="SI",(Datos!J16-Datos!T16)/Datos!T16,(Datos!J16+Datos!AD16-(Datos!T16+Datos!AL16))/(Datos!T16+Datos!AL16))," - ")</f>
        <v>0.23404255319148937</v>
      </c>
      <c r="F16" s="348">
        <f>IF(ISNUMBER(
   IF(D_I="SI",(Datos!K16-Datos!U16)/Datos!U16,(Datos!K16+Datos!AE16-(Datos!U16+Datos!AM16))/(Datos!U16+Datos!AM16))
     ),IF(D_I="SI",(Datos!K16-Datos!U16)/Datos!U16,(Datos!K16+Datos!AE16-(Datos!U16+Datos!AM16))/(Datos!U16+Datos!AM16))," - ")</f>
        <v>0.46025104602510458</v>
      </c>
      <c r="G16" s="349">
        <f>IF(ISNUMBER(
   IF(D_I="SI",(Datos!L16-Datos!V16)/Datos!V16,(Datos!L16+Datos!AF16-(Datos!V16+Datos!AN16))/(Datos!V16+Datos!AN16))
     ),IF(D_I="SI",(Datos!L16-Datos!V16)/Datos!V16,(Datos!L16+Datos!AF16-(Datos!V16+Datos!AN16))/(Datos!V16+Datos!AN16))," - ")</f>
        <v>-5.1869722557297951E-2</v>
      </c>
      <c r="H16" s="230">
        <f>IF(ISNUMBER((Datos!M16-Datos!W16)/Datos!W16),(Datos!M16-Datos!W16)/Datos!W16," - ")</f>
        <v>-0.11206896551724138</v>
      </c>
      <c r="I16" s="350">
        <f>IF(ISNUMBER((Tasas!C16-Datos!BE16)/Datos!BE16),(Tasas!C16-Datos!BE16)/Datos!BE16," - ")</f>
        <v>-0.35070734582004071</v>
      </c>
      <c r="J16" s="349">
        <f>IF(ISNUMBER((Tasas!D16-Datos!BF16)/Datos!BF16),(Tasas!D16-Datos!BF16)/Datos!BF16," - ")</f>
        <v>-0.39193261535421398</v>
      </c>
      <c r="K16" s="351">
        <f>IF(ISNUMBER((Tasas!E16-Datos!BG16)/Datos!BG16),(Tasas!E16-Datos!BG16)/Datos!BG16," - ")</f>
        <v>-0.22163532689605428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-8.8888888888888892E-2</v>
      </c>
      <c r="E17" s="348">
        <f>IF(ISNUMBER(
   IF(D_I="SI",(Datos!J17-Datos!T17)/Datos!T17,(Datos!J17+Datos!AD17-(Datos!T17+Datos!AL17))/(Datos!T17+Datos!AL17))
     ),IF(D_I="SI",(Datos!J17-Datos!T17)/Datos!T17,(Datos!J17+Datos!AD17-(Datos!T17+Datos!AL17))/(Datos!T17+Datos!AL17))," - ")</f>
        <v>0.52500000000000002</v>
      </c>
      <c r="F17" s="348">
        <f>IF(ISNUMBER(
   IF(D_I="SI",(Datos!K17-Datos!U17)/Datos!U17,(Datos!K17+Datos!AE17-(Datos!U17+Datos!AM17))/(Datos!U17+Datos!AM17))
     ),IF(D_I="SI",(Datos!K17-Datos!U17)/Datos!U17,(Datos!K17+Datos!AE17-(Datos!U17+Datos!AM17))/(Datos!U17+Datos!AM17))," - ")</f>
        <v>-0.24444444444444444</v>
      </c>
      <c r="G17" s="349">
        <f>IF(ISNUMBER(
   IF(D_I="SI",(Datos!L17-Datos!V17)/Datos!V17,(Datos!L17+Datos!AF17-(Datos!V17+Datos!AN17))/(Datos!V17+Datos!AN17))
     ),IF(D_I="SI",(Datos!L17-Datos!V17)/Datos!V17,(Datos!L17+Datos!AF17-(Datos!V17+Datos!AN17))/(Datos!V17+Datos!AN17))," - ")</f>
        <v>0.7</v>
      </c>
      <c r="H17" s="230">
        <f>IF(ISNUMBER((Datos!M17-Datos!W17)/Datos!W17),(Datos!M17-Datos!W17)/Datos!W17," - ")</f>
        <v>-6.25E-2</v>
      </c>
      <c r="I17" s="350">
        <f>IF(ISNUMBER((Tasas!C17-Datos!BE17)/Datos!BE17),(Tasas!C17-Datos!BE17)/Datos!BE17," - ")</f>
        <v>1.2500000000000002</v>
      </c>
      <c r="J17" s="349">
        <f>IF(ISNUMBER((Tasas!D17-Datos!BF17)/Datos!BF17),(Tasas!D17-Datos!BF17)/Datos!BF17," - ")</f>
        <v>0.24080882352941169</v>
      </c>
      <c r="K17" s="351">
        <f>IF(ISNUMBER((Tasas!E17-Datos!BG17)/Datos!BG17),(Tasas!E17-Datos!BG17)/Datos!BG17," - ")</f>
        <v>0.58823529411764708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5.3571428571428568E-2</v>
      </c>
      <c r="E18" s="354">
        <f>IF(ISNUMBER(
   IF(D_I="SI",(Datos!J18-Datos!T18)/Datos!T18,(Datos!J18+Datos!AD18-(Datos!T18+Datos!AL18))/(Datos!T18+Datos!AL18))
     ),IF(D_I="SI",(Datos!J18-Datos!T18)/Datos!T18,(Datos!J18+Datos!AD18-(Datos!T18+Datos!AL18))/(Datos!T18+Datos!AL18))," - ")</f>
        <v>0.25331125827814571</v>
      </c>
      <c r="F18" s="354">
        <f>IF(ISNUMBER(
   IF(D_I="SI",(Datos!K18-Datos!U18)/Datos!U18,(Datos!K18+Datos!AE18-(Datos!U18+Datos!AM18))/(Datos!U18+Datos!AM18))
     ),IF(D_I="SI",(Datos!K18-Datos!U18)/Datos!U18,(Datos!K18+Datos!AE18-(Datos!U18+Datos!AM18))/(Datos!U18+Datos!AM18))," - ")</f>
        <v>0.39961759082217974</v>
      </c>
      <c r="G18" s="355">
        <f>IF(ISNUMBER(
   IF(D_I="SI",(Datos!L18-Datos!V18)/Datos!V18,(Datos!L18+Datos!AF18-(Datos!V18+Datos!AN18))/(Datos!V18+Datos!AN18))
     ),IF(D_I="SI",(Datos!L18-Datos!V18)/Datos!V18,(Datos!L18+Datos!AF18-(Datos!V18+Datos!AN18))/(Datos!V18+Datos!AN18))," - ")</f>
        <v>-1.7261219792865361E-2</v>
      </c>
      <c r="H18" s="356">
        <f>IF(ISNUMBER((Datos!M18-Datos!W18)/Datos!W18),(Datos!M18-Datos!W18)/Datos!W18," - ")</f>
        <v>-0.10606060606060606</v>
      </c>
      <c r="I18" s="357">
        <f>IF(ISNUMBER((Tasas!C18-Datos!BE18)/Datos!BE18),(Tasas!C18-Datos!BE18)/Datos!BE18," - ")</f>
        <v>-0.29785193709244334</v>
      </c>
      <c r="J18" s="355">
        <f>IF(ISNUMBER((Tasas!D18-Datos!BF18)/Datos!BF18),(Tasas!D18-Datos!BF18)/Datos!BF18," - ")</f>
        <v>-0.36129740023182638</v>
      </c>
      <c r="K18" s="358">
        <f>IF(ISNUMBER((Tasas!E18-Datos!BG18)/Datos!BG18),(Tasas!E18-Datos!BG18)/Datos!BG18," - ")</f>
        <v>-0.18514176942095403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-2.9751487574378718E-2</v>
      </c>
      <c r="E19" s="363">
        <f>IF(ISNUMBER(
   IF(J_V="SI",(Datos!J19-Datos!T19)/Datos!T19,(Datos!J19+Datos!Z19-(Datos!T19+Datos!AH19))/(Datos!T19+Datos!AH19))
     ),IF(J_V="SI",(Datos!J19-Datos!T19)/Datos!T19,(Datos!J19+Datos!Z19-(Datos!T19+Datos!AH19))/(Datos!T19+Datos!AH19))," - ")</f>
        <v>0.17857142857142858</v>
      </c>
      <c r="F19" s="363">
        <f>IF(ISNUMBER(
   IF(J_V="SI",(Datos!K19-Datos!U19)/Datos!U19,(Datos!K19+Datos!AA19-(Datos!U19+Datos!AI19))/(Datos!U19+Datos!AI19))
     ),IF(J_V="SI",(Datos!K19-Datos!U19)/Datos!U19,(Datos!K19+Datos!AA19-(Datos!U19+Datos!AI19))/(Datos!U19+Datos!AI19))," - ")</f>
        <v>0.25784190715181932</v>
      </c>
      <c r="G19" s="364">
        <f>IF(ISNUMBER(
   IF(J_V="SI",(Datos!L19-Datos!V19)/Datos!V19,(Datos!L19+Datos!AB19-(Datos!V19+Datos!AJ19))/(Datos!V19+Datos!AJ19))
     ),IF(J_V="SI",(Datos!L19-Datos!V19)/Datos!V19,(Datos!L19+Datos!AB19-(Datos!V19+Datos!AJ19))/(Datos!V19+Datos!AJ19))," - ")</f>
        <v>-6.2271062271062272E-2</v>
      </c>
      <c r="H19" s="365">
        <f>IF(ISNUMBER((Datos!M19-Datos!W19)/Datos!W19),(Datos!M19-Datos!W19)/Datos!W19," - ")</f>
        <v>6.9587628865979384E-2</v>
      </c>
      <c r="I19" s="362">
        <f>IF(ISNUMBER((Tasas!C19-Datos!BE19)/Datos!BE19),(Tasas!C19-Datos!BE19)/Datos!BE19," - ")</f>
        <v>-0.25449380212472478</v>
      </c>
      <c r="J19" s="363">
        <f>IF(ISNUMBER((Tasas!D19-Datos!BF19)/Datos!BF19),(Tasas!D19-Datos!BF19)/Datos!BF19," - ")</f>
        <v>-0.43984690226894568</v>
      </c>
      <c r="K19" s="364">
        <f>IF(ISNUMBER((Tasas!E19-Datos!BG19)/Datos!BG19),(Tasas!E19-Datos!BG19)/Datos!BG19," - ")</f>
        <v>-0.16604178645482959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0.44537948997563487</v>
      </c>
      <c r="E21" s="278">
        <f t="shared" si="1"/>
        <v>0.5423899102637606</v>
      </c>
      <c r="F21" s="278">
        <f t="shared" si="1"/>
        <v>0.39053127391835291</v>
      </c>
      <c r="G21" s="279">
        <f t="shared" si="1"/>
        <v>0.35435599110703775</v>
      </c>
      <c r="H21" s="285">
        <f t="shared" si="1"/>
        <v>0.13817566077878043</v>
      </c>
      <c r="I21" s="277">
        <f t="shared" si="1"/>
        <v>0.68414954690573937</v>
      </c>
      <c r="J21" s="278">
        <f t="shared" si="1"/>
        <v>0.29635007230110361</v>
      </c>
      <c r="K21" s="279">
        <f t="shared" si="1"/>
        <v>0.34346396728859108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itpOEfVQCj4SfuabZmCbxx2zNag10Zgk+O5bglA5RVyq024xOp4MPFM8qsLQ2y+XyTImKg1BzvMrPUBQhOhsQ==" saltValue="O3gBBmVipu+pbDDySzzA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